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Jennifer\Google Drive\SHA560\SHA615 NEW\Sample Inn\"/>
    </mc:Choice>
  </mc:AlternateContent>
  <xr:revisionPtr revIDLastSave="0" documentId="13_ncr:1_{DED079DD-1EA4-4504-AD02-44FB5394CAC9}" xr6:coauthVersionLast="32" xr6:coauthVersionMax="32" xr10:uidLastSave="{00000000-0000-0000-0000-000000000000}"/>
  <bookViews>
    <workbookView xWindow="15465" yWindow="465" windowWidth="14355" windowHeight="13845" tabRatio="632" xr2:uid="{00000000-000D-0000-FFFF-FFFF00000000}"/>
  </bookViews>
  <sheets>
    <sheet name="Intro" sheetId="6" r:id="rId1"/>
    <sheet name="Input" sheetId="1" r:id="rId2"/>
    <sheet name="Calcs" sheetId="2" r:id="rId3"/>
    <sheet name="Output-LTV" sheetId="3" r:id="rId4"/>
    <sheet name="Output-DCR" sheetId="7" r:id="rId5"/>
    <sheet name="Output-DY" sheetId="8" r:id="rId6"/>
  </sheets>
  <definedNames>
    <definedName name="_xlnm.Print_Area" localSheetId="1">Input!$C$1:$I$31</definedName>
    <definedName name="_xlnm.Print_Area" localSheetId="3">'Output-LTV'!$B$2:$N$75</definedName>
    <definedName name="wrn.All._.Inputs." localSheetId="0" hidden="1">{#N/A,#N/A,FALSE,"Primary";#N/A,#N/A,FALSE,"Secondary";#N/A,#N/A,FALSE,"Latent";#N/A,#N/A,FALSE,"Comp Index";#N/A,#N/A,FALSE,"Demand Inputs";#N/A,#N/A,FALSE,"Supply Addn"}</definedName>
    <definedName name="wrn.All._.Inputs." hidden="1">{#N/A,#N/A,FALSE,"Primary";#N/A,#N/A,FALSE,"Secondary";#N/A,#N/A,FALSE,"Latent";#N/A,#N/A,FALSE,"Demand Inputs";#N/A,#N/A,FALSE,"Supply Addn";#N/A,#N/A,FALSE,"Mkt Pen"}</definedName>
    <definedName name="wrn.BaseYearDemand." localSheetId="0" hidden="1">{"Base Year Demand",#N/A,FALSE,"Demand-Base Year"}</definedName>
    <definedName name="wrn.BaseYearDemand." hidden="1">{"Base Year Demand",#N/A,FALSE,"Demand-Base Year"}</definedName>
    <definedName name="wrn.Both._.Outputs." hidden="1">{"LTV Output",#N/A,FALSE,"Output";"DCR Output",#N/A,FALSE,"Output"}</definedName>
    <definedName name="wrn.CI._.Calcs." localSheetId="0" hidden="1">{"CI Calcs A",#N/A,FALSE,"Comp Index Calcs";"CI Calcs B",#N/A,FALSE,"Comp Index Calcs"}</definedName>
    <definedName name="wrn.Competitive._.Indexes." localSheetId="0" hidden="1">{#N/A,#N/A,FALSE,"Comp Index"}</definedName>
    <definedName name="wrn.DCR._.Output." hidden="1">{"DCR Output",#N/A,FALSE,"Output"}</definedName>
    <definedName name="wrn.Demand._.Calcs." localSheetId="0" hidden="1">{"Demand Calcs",#N/A,FALSE,"Demand Calcs"}</definedName>
    <definedName name="wrn.Demand._.Calcs." hidden="1">{#N/A,#N/A,FALSE,"Demand Calcs"}</definedName>
    <definedName name="wrn.Demand._.Inputs." localSheetId="0" hidden="1">{#N/A,#N/A,FALSE,"Demand Inputs"}</definedName>
    <definedName name="wrn.Demand._.Inputs." hidden="1">{#N/A,#N/A,FALSE,"Demand Inputs"}</definedName>
    <definedName name="wrn.Fair._.Share._.Calcs." localSheetId="0" hidden="1">{#N/A,#N/A,FALSE,"Fair Share"}</definedName>
    <definedName name="wrn.Fair._.Share._.Calcs." hidden="1">{#N/A,#N/A,FALSE,"Fair Share"}</definedName>
    <definedName name="wrn.Final._.Output." localSheetId="0" hidden="1">{#N/A,#N/A,FALSE,"Final Output"}</definedName>
    <definedName name="wrn.Final._.Output." hidden="1">{#N/A,#N/A,FALSE,"Final Output"}</definedName>
    <definedName name="wrn.Inputs." hidden="1">{#N/A,#N/A,FALSE,"Input"}</definedName>
    <definedName name="wrn.Latent._.Demand._.Inputs." localSheetId="0" hidden="1">{#N/A,#N/A,FALSE,"Latent"}</definedName>
    <definedName name="wrn.Latent._.Demand._.Inputs." hidden="1">{#N/A,#N/A,FALSE,"Latent"}</definedName>
    <definedName name="wrn.LTV._.Output." hidden="1">{"LTV Output",#N/A,FALSE,"Output"}</definedName>
    <definedName name="wrn.Occupancy._.Calcs." localSheetId="0" hidden="1">{#N/A,#N/A,FALSE,"CI Calcs"}</definedName>
    <definedName name="wrn.Occupancy._.Calcs." hidden="1">{#N/A,#N/A,FALSE,"Occ. Calcs"}</definedName>
    <definedName name="wrn.Penetration." localSheetId="0" hidden="1">{#N/A,#N/A,FALSE,"Mkt Pen"}</definedName>
    <definedName name="wrn.Penetration." hidden="1">{#N/A,#N/A,FALSE,"Mkt Pen"}</definedName>
    <definedName name="wrn.Primary._.Competition." localSheetId="0" hidden="1">{#N/A,#N/A,FALSE,"Primary"}</definedName>
    <definedName name="wrn.Primary._.Competition." hidden="1">{#N/A,#N/A,FALSE,"Primary"}</definedName>
    <definedName name="wrn.Secondary._.Competition." localSheetId="0" hidden="1">{#N/A,#N/A,FALSE,"SC"}</definedName>
    <definedName name="wrn.Secondary._.Competition." hidden="1">{#N/A,#N/A,FALSE,"Secondary"}</definedName>
    <definedName name="wrn.Supply._.Additions." localSheetId="0" hidden="1">{#N/A,#N/A,FALSE,"S-add"}</definedName>
    <definedName name="wrn.Supply._.Additions." hidden="1">{#N/A,#N/A,FALSE,"Supply Addn"}</definedName>
  </definedNames>
  <calcPr calcId="179017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2" l="1"/>
  <c r="E4" i="2"/>
  <c r="F4" i="2"/>
  <c r="E5" i="2"/>
  <c r="F5" i="2"/>
  <c r="F18" i="2"/>
  <c r="G18" i="2"/>
  <c r="E19" i="2"/>
  <c r="E20" i="2"/>
  <c r="E21" i="2"/>
  <c r="E22" i="2"/>
  <c r="E23" i="2"/>
  <c r="E24" i="2"/>
  <c r="E25" i="2"/>
  <c r="E26" i="2"/>
  <c r="E27" i="2"/>
  <c r="C18" i="2"/>
  <c r="C19" i="2"/>
  <c r="C59" i="2"/>
  <c r="C62" i="2"/>
  <c r="C43" i="2"/>
  <c r="J12" i="7"/>
  <c r="H26" i="7"/>
  <c r="E11" i="8"/>
  <c r="D21" i="8"/>
  <c r="E11" i="7"/>
  <c r="D21" i="7"/>
  <c r="H20" i="2"/>
  <c r="C32" i="2"/>
  <c r="E11" i="3"/>
  <c r="D21" i="3"/>
  <c r="E6" i="2"/>
  <c r="D37" i="8"/>
  <c r="D37" i="3"/>
  <c r="D10" i="8"/>
  <c r="E10" i="8"/>
  <c r="F10" i="8"/>
  <c r="G10" i="8"/>
  <c r="H10" i="8"/>
  <c r="I10" i="8"/>
  <c r="J10" i="8"/>
  <c r="K10" i="8"/>
  <c r="L10" i="8"/>
  <c r="M10" i="8"/>
  <c r="N10" i="8"/>
  <c r="B4" i="8"/>
  <c r="E54" i="2"/>
  <c r="D37" i="7"/>
  <c r="D10" i="7"/>
  <c r="E10" i="7"/>
  <c r="F10" i="7"/>
  <c r="G10" i="7"/>
  <c r="H10" i="7"/>
  <c r="I10" i="7"/>
  <c r="J10" i="7"/>
  <c r="K10" i="7"/>
  <c r="L10" i="7"/>
  <c r="M10" i="7"/>
  <c r="N10" i="7"/>
  <c r="B4" i="7"/>
  <c r="E7" i="2"/>
  <c r="E8" i="2"/>
  <c r="E9" i="2"/>
  <c r="E10" i="2"/>
  <c r="E11" i="2"/>
  <c r="E12" i="2"/>
  <c r="E13" i="2"/>
  <c r="E14" i="2"/>
  <c r="C23" i="2"/>
  <c r="H10" i="1"/>
  <c r="H11" i="1"/>
  <c r="H12" i="1"/>
  <c r="H13" i="1"/>
  <c r="H14" i="1"/>
  <c r="H15" i="1"/>
  <c r="H16" i="1"/>
  <c r="H17" i="1"/>
  <c r="H18" i="1"/>
  <c r="H19" i="1"/>
  <c r="H20" i="1"/>
  <c r="D10" i="3"/>
  <c r="E10" i="3"/>
  <c r="F10" i="3"/>
  <c r="G10" i="3"/>
  <c r="H10" i="3"/>
  <c r="I10" i="3"/>
  <c r="J10" i="3"/>
  <c r="K10" i="3"/>
  <c r="L10" i="3"/>
  <c r="M10" i="3"/>
  <c r="N10" i="3"/>
  <c r="B4" i="3"/>
  <c r="E38" i="2"/>
  <c r="E12" i="7"/>
  <c r="E13" i="7"/>
  <c r="L21" i="7"/>
  <c r="H24" i="2"/>
  <c r="F6" i="2"/>
  <c r="F11" i="3"/>
  <c r="D22" i="3"/>
  <c r="F11" i="7"/>
  <c r="F19" i="2"/>
  <c r="G19" i="2"/>
  <c r="E55" i="2"/>
  <c r="E39" i="2"/>
  <c r="F11" i="8"/>
  <c r="D22" i="8"/>
  <c r="I12" i="7"/>
  <c r="H25" i="7"/>
  <c r="M12" i="7"/>
  <c r="H29" i="7"/>
  <c r="H27" i="2"/>
  <c r="H23" i="2"/>
  <c r="H19" i="2"/>
  <c r="H12" i="7"/>
  <c r="H24" i="7"/>
  <c r="L12" i="7"/>
  <c r="H28" i="7"/>
  <c r="E14" i="7"/>
  <c r="H26" i="2"/>
  <c r="H22" i="2"/>
  <c r="H18" i="2"/>
  <c r="G12" i="7"/>
  <c r="H23" i="7"/>
  <c r="K12" i="7"/>
  <c r="H27" i="7"/>
  <c r="C48" i="2"/>
  <c r="H25" i="2"/>
  <c r="H21" i="2"/>
  <c r="F12" i="7"/>
  <c r="H22" i="7"/>
  <c r="C54" i="2"/>
  <c r="K12" i="8"/>
  <c r="C39" i="2"/>
  <c r="C42" i="2"/>
  <c r="C55" i="2"/>
  <c r="C58" i="2"/>
  <c r="C57" i="2"/>
  <c r="N12" i="8"/>
  <c r="H30" i="8"/>
  <c r="C22" i="2"/>
  <c r="C64" i="2"/>
  <c r="D6" i="8"/>
  <c r="L12" i="8"/>
  <c r="H12" i="8"/>
  <c r="C38" i="2"/>
  <c r="C46" i="2"/>
  <c r="E12" i="8"/>
  <c r="I12" i="8"/>
  <c r="M12" i="8"/>
  <c r="H29" i="8"/>
  <c r="J12" i="8"/>
  <c r="H26" i="8"/>
  <c r="F12" i="8"/>
  <c r="G12" i="8"/>
  <c r="J33" i="7"/>
  <c r="H21" i="7"/>
  <c r="F14" i="7"/>
  <c r="F13" i="7"/>
  <c r="L22" i="7"/>
  <c r="D22" i="7"/>
  <c r="C31" i="2"/>
  <c r="E56" i="2"/>
  <c r="G11" i="7"/>
  <c r="F20" i="2"/>
  <c r="G20" i="2"/>
  <c r="G11" i="3"/>
  <c r="D23" i="3"/>
  <c r="E40" i="2"/>
  <c r="G11" i="8"/>
  <c r="D23" i="8"/>
  <c r="F7" i="2"/>
  <c r="D6" i="7"/>
  <c r="C41" i="2"/>
  <c r="H21" i="8"/>
  <c r="E13" i="8"/>
  <c r="J33" i="8"/>
  <c r="E14" i="8"/>
  <c r="H25" i="8"/>
  <c r="F13" i="8"/>
  <c r="H22" i="8"/>
  <c r="F14" i="8"/>
  <c r="E15" i="8"/>
  <c r="D12" i="8"/>
  <c r="I20" i="8"/>
  <c r="G15" i="8"/>
  <c r="F15" i="8"/>
  <c r="F6" i="8"/>
  <c r="H23" i="8"/>
  <c r="H27" i="8"/>
  <c r="H24" i="8"/>
  <c r="H28" i="8"/>
  <c r="E6" i="8"/>
  <c r="G14" i="7"/>
  <c r="G13" i="7"/>
  <c r="L23" i="7"/>
  <c r="D23" i="7"/>
  <c r="G14" i="8"/>
  <c r="G13" i="8"/>
  <c r="F21" i="2"/>
  <c r="G21" i="2"/>
  <c r="E57" i="2"/>
  <c r="H11" i="8"/>
  <c r="H11" i="7"/>
  <c r="H15" i="7"/>
  <c r="E41" i="2"/>
  <c r="F8" i="2"/>
  <c r="H11" i="3"/>
  <c r="D24" i="3"/>
  <c r="I24" i="8"/>
  <c r="I28" i="8"/>
  <c r="I23" i="8"/>
  <c r="J23" i="8"/>
  <c r="I27" i="8"/>
  <c r="J27" i="8"/>
  <c r="I22" i="8"/>
  <c r="I26" i="8"/>
  <c r="I30" i="8"/>
  <c r="J30" i="8"/>
  <c r="I21" i="8"/>
  <c r="J21" i="8"/>
  <c r="J31" i="8"/>
  <c r="I25" i="8"/>
  <c r="I29" i="8"/>
  <c r="J29" i="8"/>
  <c r="L22" i="8"/>
  <c r="F15" i="7"/>
  <c r="E15" i="7"/>
  <c r="F6" i="7"/>
  <c r="D12" i="7"/>
  <c r="G15" i="7"/>
  <c r="J24" i="8"/>
  <c r="J26" i="8"/>
  <c r="J25" i="8"/>
  <c r="L21" i="8"/>
  <c r="J34" i="7"/>
  <c r="N37" i="7"/>
  <c r="N12" i="7"/>
  <c r="J34" i="8"/>
  <c r="N37" i="8"/>
  <c r="J28" i="8"/>
  <c r="L23" i="8"/>
  <c r="J22" i="8"/>
  <c r="I11" i="8"/>
  <c r="E58" i="2"/>
  <c r="I11" i="3"/>
  <c r="D25" i="3"/>
  <c r="F9" i="2"/>
  <c r="I11" i="7"/>
  <c r="E42" i="2"/>
  <c r="F22" i="2"/>
  <c r="G22" i="2"/>
  <c r="D24" i="7"/>
  <c r="H14" i="7"/>
  <c r="H13" i="7"/>
  <c r="L24" i="7"/>
  <c r="D24" i="8"/>
  <c r="H13" i="8"/>
  <c r="L24" i="8"/>
  <c r="H15" i="8"/>
  <c r="H14" i="8"/>
  <c r="I20" i="7"/>
  <c r="E6" i="7"/>
  <c r="H30" i="7"/>
  <c r="J11" i="8"/>
  <c r="F10" i="2"/>
  <c r="J11" i="3"/>
  <c r="D26" i="3"/>
  <c r="E59" i="2"/>
  <c r="E43" i="2"/>
  <c r="F23" i="2"/>
  <c r="G23" i="2"/>
  <c r="J11" i="7"/>
  <c r="I13" i="7"/>
  <c r="D25" i="7"/>
  <c r="I14" i="7"/>
  <c r="I15" i="7"/>
  <c r="D25" i="8"/>
  <c r="I13" i="8"/>
  <c r="I14" i="8"/>
  <c r="I15" i="8"/>
  <c r="I25" i="7"/>
  <c r="J25" i="7"/>
  <c r="I29" i="7"/>
  <c r="J29" i="7"/>
  <c r="I22" i="7"/>
  <c r="J22" i="7"/>
  <c r="I26" i="7"/>
  <c r="J26" i="7"/>
  <c r="I30" i="7"/>
  <c r="J30" i="7"/>
  <c r="I23" i="7"/>
  <c r="J23" i="7"/>
  <c r="I27" i="7"/>
  <c r="J27" i="7"/>
  <c r="I21" i="7"/>
  <c r="J21" i="7"/>
  <c r="J31" i="7"/>
  <c r="I28" i="7"/>
  <c r="J28" i="7"/>
  <c r="I24" i="7"/>
  <c r="J24" i="7"/>
  <c r="L25" i="8"/>
  <c r="J14" i="7"/>
  <c r="J13" i="7"/>
  <c r="D26" i="7"/>
  <c r="J15" i="7"/>
  <c r="L25" i="7"/>
  <c r="K11" i="8"/>
  <c r="K11" i="7"/>
  <c r="F24" i="2"/>
  <c r="G24" i="2"/>
  <c r="K11" i="3"/>
  <c r="E44" i="2"/>
  <c r="E60" i="2"/>
  <c r="F11" i="2"/>
  <c r="J13" i="8"/>
  <c r="J15" i="8"/>
  <c r="D26" i="8"/>
  <c r="J14" i="8"/>
  <c r="L26" i="7"/>
  <c r="K14" i="7"/>
  <c r="K13" i="7"/>
  <c r="D27" i="7"/>
  <c r="K15" i="7"/>
  <c r="L26" i="8"/>
  <c r="K13" i="8"/>
  <c r="K15" i="8"/>
  <c r="D27" i="8"/>
  <c r="K14" i="8"/>
  <c r="L11" i="8"/>
  <c r="F25" i="2"/>
  <c r="G25" i="2"/>
  <c r="L11" i="7"/>
  <c r="E61" i="2"/>
  <c r="E45" i="2"/>
  <c r="F12" i="2"/>
  <c r="L11" i="3"/>
  <c r="D27" i="3"/>
  <c r="M11" i="8"/>
  <c r="E62" i="2"/>
  <c r="E46" i="2"/>
  <c r="F13" i="2"/>
  <c r="M11" i="3"/>
  <c r="M11" i="7"/>
  <c r="F26" i="2"/>
  <c r="G26" i="2"/>
  <c r="D28" i="3"/>
  <c r="D28" i="8"/>
  <c r="L13" i="8"/>
  <c r="L14" i="8"/>
  <c r="L15" i="8"/>
  <c r="L27" i="8"/>
  <c r="D28" i="7"/>
  <c r="L14" i="7"/>
  <c r="L13" i="7"/>
  <c r="L15" i="7"/>
  <c r="L27" i="7"/>
  <c r="F14" i="2"/>
  <c r="F33" i="8"/>
  <c r="N33" i="8"/>
  <c r="E63" i="2"/>
  <c r="F33" i="3"/>
  <c r="F27" i="2"/>
  <c r="F33" i="7"/>
  <c r="N33" i="7"/>
  <c r="E47" i="2"/>
  <c r="N11" i="8"/>
  <c r="N11" i="7"/>
  <c r="N11" i="3"/>
  <c r="M13" i="7"/>
  <c r="D29" i="7"/>
  <c r="M14" i="7"/>
  <c r="M15" i="7"/>
  <c r="L28" i="7"/>
  <c r="L28" i="8"/>
  <c r="D29" i="3"/>
  <c r="D29" i="8"/>
  <c r="M15" i="8"/>
  <c r="M14" i="8"/>
  <c r="M13" i="8"/>
  <c r="N13" i="8"/>
  <c r="L30" i="8"/>
  <c r="D30" i="8"/>
  <c r="L29" i="8"/>
  <c r="D30" i="3"/>
  <c r="L29" i="7"/>
  <c r="D30" i="7"/>
  <c r="N13" i="7"/>
  <c r="G27" i="2"/>
  <c r="E48" i="2"/>
  <c r="E64" i="2"/>
  <c r="C20" i="2"/>
  <c r="F37" i="3"/>
  <c r="D36" i="7"/>
  <c r="D36" i="8"/>
  <c r="F37" i="7"/>
  <c r="F37" i="8"/>
  <c r="D36" i="3"/>
  <c r="F38" i="8"/>
  <c r="F39" i="8"/>
  <c r="F38" i="3"/>
  <c r="F39" i="3"/>
  <c r="F38" i="7"/>
  <c r="F39" i="7"/>
  <c r="C40" i="2"/>
  <c r="C49" i="2"/>
  <c r="F34" i="3"/>
  <c r="F34" i="8"/>
  <c r="N34" i="8"/>
  <c r="F34" i="7"/>
  <c r="N34" i="7"/>
  <c r="C56" i="2"/>
  <c r="C65" i="2"/>
  <c r="C47" i="2"/>
  <c r="C63" i="2"/>
  <c r="C30" i="2"/>
  <c r="C33" i="2"/>
  <c r="L30" i="7"/>
  <c r="N15" i="7"/>
  <c r="N36" i="7"/>
  <c r="N38" i="7"/>
  <c r="N36" i="3"/>
  <c r="D5" i="3"/>
  <c r="C34" i="2"/>
  <c r="C66" i="2"/>
  <c r="C61" i="2"/>
  <c r="D5" i="8"/>
  <c r="C50" i="2"/>
  <c r="C45" i="2"/>
  <c r="D5" i="7"/>
  <c r="N36" i="8"/>
  <c r="N38" i="8"/>
  <c r="N15" i="8"/>
  <c r="K5" i="7"/>
  <c r="D11" i="7"/>
  <c r="E5" i="7"/>
  <c r="F5" i="7"/>
  <c r="D7" i="7"/>
  <c r="K8" i="7"/>
  <c r="K4" i="7"/>
  <c r="D7" i="8"/>
  <c r="K5" i="8"/>
  <c r="K8" i="8"/>
  <c r="F5" i="8"/>
  <c r="D11" i="8"/>
  <c r="E5" i="8"/>
  <c r="K4" i="8"/>
  <c r="K8" i="3"/>
  <c r="F5" i="3"/>
  <c r="K5" i="3"/>
  <c r="D11" i="3"/>
  <c r="E5" i="3"/>
  <c r="K4" i="3"/>
  <c r="N16" i="8"/>
  <c r="D6" i="3"/>
  <c r="D7" i="3"/>
  <c r="C21" i="2"/>
  <c r="E20" i="8"/>
  <c r="K7" i="8"/>
  <c r="K6" i="8"/>
  <c r="H16" i="8"/>
  <c r="E16" i="8"/>
  <c r="G16" i="8"/>
  <c r="F16" i="8"/>
  <c r="F7" i="8"/>
  <c r="D13" i="8"/>
  <c r="E7" i="8"/>
  <c r="M20" i="8"/>
  <c r="I16" i="8"/>
  <c r="J16" i="8"/>
  <c r="K16" i="8"/>
  <c r="L16" i="8"/>
  <c r="M16" i="8"/>
  <c r="G16" i="7"/>
  <c r="F7" i="7"/>
  <c r="F16" i="7"/>
  <c r="E16" i="7"/>
  <c r="H16" i="7"/>
  <c r="D13" i="7"/>
  <c r="E7" i="7"/>
  <c r="M20" i="7"/>
  <c r="I16" i="7"/>
  <c r="J16" i="7"/>
  <c r="K16" i="7"/>
  <c r="L16" i="7"/>
  <c r="M16" i="7"/>
  <c r="N16" i="7"/>
  <c r="J34" i="3"/>
  <c r="N37" i="3"/>
  <c r="N38" i="3"/>
  <c r="N34" i="3"/>
  <c r="E20" i="7"/>
  <c r="K7" i="7"/>
  <c r="K6" i="7"/>
  <c r="F7" i="3"/>
  <c r="D13" i="3"/>
  <c r="E12" i="3"/>
  <c r="E13" i="3"/>
  <c r="F12" i="3"/>
  <c r="F13" i="3"/>
  <c r="G12" i="3"/>
  <c r="G13" i="3"/>
  <c r="H12" i="3"/>
  <c r="H13" i="3"/>
  <c r="I12" i="3"/>
  <c r="I13" i="3"/>
  <c r="J12" i="3"/>
  <c r="J13" i="3"/>
  <c r="K12" i="3"/>
  <c r="K13" i="3"/>
  <c r="L12" i="3"/>
  <c r="L13" i="3"/>
  <c r="M12" i="3"/>
  <c r="M13" i="3"/>
  <c r="N12" i="3"/>
  <c r="N13" i="3"/>
  <c r="E7" i="3"/>
  <c r="M20" i="3"/>
  <c r="F15" i="3"/>
  <c r="H15" i="3"/>
  <c r="G15" i="3"/>
  <c r="I15" i="3"/>
  <c r="F6" i="3"/>
  <c r="J15" i="3"/>
  <c r="D12" i="3"/>
  <c r="I20" i="3"/>
  <c r="E15" i="3"/>
  <c r="K15" i="3"/>
  <c r="L15" i="3"/>
  <c r="M15" i="3"/>
  <c r="N15" i="3"/>
  <c r="E20" i="3"/>
  <c r="K7" i="3"/>
  <c r="K6" i="3"/>
  <c r="H29" i="3"/>
  <c r="M14" i="3"/>
  <c r="M21" i="3"/>
  <c r="M25" i="3"/>
  <c r="M29" i="3"/>
  <c r="M27" i="3"/>
  <c r="M23" i="3"/>
  <c r="M22" i="3"/>
  <c r="M30" i="3"/>
  <c r="M26" i="3"/>
  <c r="M28" i="3"/>
  <c r="M24" i="3"/>
  <c r="M25" i="7"/>
  <c r="N25" i="7"/>
  <c r="M30" i="7"/>
  <c r="N30" i="7"/>
  <c r="M24" i="7"/>
  <c r="N24" i="7"/>
  <c r="M26" i="7"/>
  <c r="N26" i="7"/>
  <c r="M29" i="7"/>
  <c r="N29" i="7"/>
  <c r="M23" i="7"/>
  <c r="N23" i="7"/>
  <c r="M28" i="7"/>
  <c r="N28" i="7"/>
  <c r="M22" i="7"/>
  <c r="N22" i="7"/>
  <c r="M27" i="7"/>
  <c r="N27" i="7"/>
  <c r="M21" i="7"/>
  <c r="N21" i="7"/>
  <c r="N31" i="7"/>
  <c r="I24" i="3"/>
  <c r="I27" i="3"/>
  <c r="I22" i="3"/>
  <c r="I26" i="3"/>
  <c r="I21" i="3"/>
  <c r="I29" i="3"/>
  <c r="I23" i="3"/>
  <c r="I30" i="3"/>
  <c r="I25" i="3"/>
  <c r="I28" i="3"/>
  <c r="M23" i="8"/>
  <c r="N23" i="8"/>
  <c r="M30" i="8"/>
  <c r="N30" i="8"/>
  <c r="M24" i="8"/>
  <c r="N24" i="8"/>
  <c r="M27" i="8"/>
  <c r="N27" i="8"/>
  <c r="M28" i="8"/>
  <c r="N28" i="8"/>
  <c r="M26" i="8"/>
  <c r="N26" i="8"/>
  <c r="M21" i="8"/>
  <c r="N21" i="8"/>
  <c r="N31" i="8"/>
  <c r="M22" i="8"/>
  <c r="N22" i="8"/>
  <c r="M25" i="8"/>
  <c r="N25" i="8"/>
  <c r="M29" i="8"/>
  <c r="N29" i="8"/>
  <c r="E27" i="3"/>
  <c r="F27" i="3"/>
  <c r="E22" i="3"/>
  <c r="F22" i="3"/>
  <c r="E23" i="3"/>
  <c r="F23" i="3"/>
  <c r="E28" i="3"/>
  <c r="F28" i="3"/>
  <c r="E26" i="3"/>
  <c r="F26" i="3"/>
  <c r="E29" i="3"/>
  <c r="F29" i="3"/>
  <c r="E24" i="3"/>
  <c r="F24" i="3"/>
  <c r="E25" i="3"/>
  <c r="F25" i="3"/>
  <c r="E30" i="3"/>
  <c r="F30" i="3"/>
  <c r="E21" i="3"/>
  <c r="F21" i="3"/>
  <c r="F31" i="3"/>
  <c r="H28" i="3"/>
  <c r="J28" i="3"/>
  <c r="L14" i="3"/>
  <c r="G14" i="3"/>
  <c r="H23" i="3"/>
  <c r="J23" i="3"/>
  <c r="E28" i="7"/>
  <c r="F28" i="7"/>
  <c r="E26" i="7"/>
  <c r="F26" i="7"/>
  <c r="E27" i="7"/>
  <c r="F27" i="7"/>
  <c r="E30" i="7"/>
  <c r="F30" i="7"/>
  <c r="E23" i="7"/>
  <c r="F23" i="7"/>
  <c r="E25" i="7"/>
  <c r="F25" i="7"/>
  <c r="E24" i="7"/>
  <c r="F24" i="7"/>
  <c r="E29" i="7"/>
  <c r="F29" i="7"/>
  <c r="E21" i="7"/>
  <c r="F21" i="7"/>
  <c r="F31" i="7"/>
  <c r="E22" i="7"/>
  <c r="F22" i="7"/>
  <c r="H25" i="3"/>
  <c r="I14" i="3"/>
  <c r="H21" i="3"/>
  <c r="J33" i="3"/>
  <c r="E14" i="3"/>
  <c r="E6" i="3"/>
  <c r="J14" i="3"/>
  <c r="H26" i="3"/>
  <c r="J26" i="3"/>
  <c r="H30" i="3"/>
  <c r="J30" i="3"/>
  <c r="H14" i="3"/>
  <c r="H24" i="3"/>
  <c r="H22" i="3"/>
  <c r="J22" i="3"/>
  <c r="F14" i="3"/>
  <c r="K14" i="3"/>
  <c r="H27" i="3"/>
  <c r="J27" i="3"/>
  <c r="E26" i="8"/>
  <c r="F26" i="8"/>
  <c r="E29" i="8"/>
  <c r="F29" i="8"/>
  <c r="E27" i="8"/>
  <c r="F27" i="8"/>
  <c r="E25" i="8"/>
  <c r="F25" i="8"/>
  <c r="E30" i="8"/>
  <c r="F30" i="8"/>
  <c r="E24" i="8"/>
  <c r="F24" i="8"/>
  <c r="E21" i="8"/>
  <c r="F21" i="8"/>
  <c r="F31" i="8"/>
  <c r="E28" i="8"/>
  <c r="F28" i="8"/>
  <c r="E22" i="8"/>
  <c r="F22" i="8"/>
  <c r="E23" i="8"/>
  <c r="F23" i="8"/>
  <c r="L28" i="3"/>
  <c r="N28" i="3"/>
  <c r="L16" i="3"/>
  <c r="K16" i="3"/>
  <c r="L27" i="3"/>
  <c r="N27" i="3"/>
  <c r="L21" i="3"/>
  <c r="N21" i="3"/>
  <c r="L22" i="3"/>
  <c r="N22" i="3"/>
  <c r="L23" i="3"/>
  <c r="N23" i="3"/>
  <c r="L24" i="3"/>
  <c r="N24" i="3"/>
  <c r="L25" i="3"/>
  <c r="N25" i="3"/>
  <c r="L26" i="3"/>
  <c r="N26" i="3"/>
  <c r="L29" i="3"/>
  <c r="N29" i="3"/>
  <c r="L30" i="3"/>
  <c r="N30" i="3"/>
  <c r="N31" i="3"/>
  <c r="E16" i="3"/>
  <c r="I16" i="3"/>
  <c r="M16" i="3"/>
  <c r="F16" i="3"/>
  <c r="N16" i="3"/>
  <c r="J16" i="3"/>
  <c r="N14" i="3"/>
  <c r="N14" i="7"/>
  <c r="N33" i="3"/>
  <c r="N14" i="8"/>
  <c r="J25" i="3"/>
  <c r="G16" i="3"/>
  <c r="H16" i="3"/>
  <c r="J24" i="3"/>
  <c r="J21" i="3"/>
  <c r="J29" i="3"/>
  <c r="J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deRoos, Jan</author>
  </authors>
  <commentList>
    <comment ref="E2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1, 2, 3… not 2021
</t>
        </r>
      </text>
    </comment>
    <comment ref="E3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1, 2, 3… not 2021
</t>
        </r>
      </text>
    </comment>
  </commentList>
</comments>
</file>

<file path=xl/sharedStrings.xml><?xml version="1.0" encoding="utf-8"?>
<sst xmlns="http://schemas.openxmlformats.org/spreadsheetml/2006/main" count="326" uniqueCount="166">
  <si>
    <t>Disc. Fact.</t>
  </si>
  <si>
    <t>Equity Yield</t>
  </si>
  <si>
    <t>Mortgage Interest Rate</t>
  </si>
  <si>
    <t>Loan to Value Ratio</t>
  </si>
  <si>
    <t>Terminal Cap Rate</t>
  </si>
  <si>
    <t>Mortgage payments per year</t>
  </si>
  <si>
    <t>Value of the Property</t>
  </si>
  <si>
    <t>1. Mortgage Component</t>
  </si>
  <si>
    <t>RMB</t>
  </si>
  <si>
    <t>2. NPV of the Cash Flow</t>
  </si>
  <si>
    <t>3. PV of the Mortgage PMT</t>
  </si>
  <si>
    <t>4. PV of the Reversion</t>
  </si>
  <si>
    <t>Sum of 1+2-3+4</t>
  </si>
  <si>
    <t>RMB as % of original loan</t>
  </si>
  <si>
    <t>Monthly mortgage constant</t>
  </si>
  <si>
    <t>Year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</si>
  <si>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</si>
  <si>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</si>
  <si>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</si>
  <si>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</si>
  <si>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</si>
  <si>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</si>
  <si>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</si>
  <si>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</si>
  <si>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</si>
  <si>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</si>
  <si>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</si>
  <si>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First Projection Year</t>
  </si>
  <si>
    <t>Debt Coverage Ratio</t>
  </si>
  <si>
    <t>DCR Calcs:</t>
  </si>
  <si>
    <t>RMB as % of original Loan</t>
  </si>
  <si>
    <t>LTV Calcs:</t>
  </si>
  <si>
    <t>Yearly Mortgage Const. (f)</t>
  </si>
  <si>
    <t>% of Mortgage Paid (P)</t>
  </si>
  <si>
    <t>Net Income</t>
  </si>
  <si>
    <t>Value of the Property (DCR)</t>
  </si>
  <si>
    <t>Mortgage Amortization (years)</t>
  </si>
  <si>
    <t>Selling Expenses at Reversion</t>
  </si>
  <si>
    <t>Income Calcs:</t>
  </si>
  <si>
    <t>Inflation Rate after Stabilization</t>
  </si>
  <si>
    <t>Raw NI</t>
  </si>
  <si>
    <t>Adj. NI</t>
  </si>
  <si>
    <t>LTV Model:</t>
  </si>
  <si>
    <t>Value of the Mortgage Component</t>
  </si>
  <si>
    <t>Mortgage</t>
  </si>
  <si>
    <t>Equity</t>
  </si>
  <si>
    <t>Total Property</t>
  </si>
  <si>
    <t>$(000)</t>
  </si>
  <si>
    <t>IRR</t>
  </si>
  <si>
    <t>Value of the Equity Component</t>
  </si>
  <si>
    <t>PV Factor @</t>
  </si>
  <si>
    <t>Discounted</t>
  </si>
  <si>
    <t>Cash Flow</t>
  </si>
  <si>
    <t>Total Property Value</t>
  </si>
  <si>
    <t>Proof of Value</t>
  </si>
  <si>
    <t>Total Property Present Value</t>
  </si>
  <si>
    <t>Mortgage Component Present Value</t>
  </si>
  <si>
    <t>Equity Component Present Value</t>
  </si>
  <si>
    <t>Payment</t>
  </si>
  <si>
    <t>Mortgage Component Value</t>
  </si>
  <si>
    <t>to Equity</t>
  </si>
  <si>
    <t>Equity Component Value</t>
  </si>
  <si>
    <t>Before D.S.</t>
  </si>
  <si>
    <t>plus the equity residual of</t>
  </si>
  <si>
    <t>DCR Model:</t>
  </si>
  <si>
    <t xml:space="preserve">plus reversion of </t>
  </si>
  <si>
    <t>plus the RMB of</t>
  </si>
  <si>
    <t>Year 10 net inc. to equity of</t>
  </si>
  <si>
    <t>Year 10 mort. payment of</t>
  </si>
  <si>
    <t>Cash Flows for IRR Calcs</t>
  </si>
  <si>
    <t>Income</t>
  </si>
  <si>
    <t>PV of Net</t>
  </si>
  <si>
    <t>Job Title</t>
  </si>
  <si>
    <t>Prepared by</t>
  </si>
  <si>
    <t>Prepared for</t>
  </si>
  <si>
    <t>Job #</t>
  </si>
  <si>
    <t>Net Sale Price</t>
  </si>
  <si>
    <t>% of Mortgage Paid in Year 10 (P)</t>
  </si>
  <si>
    <t>The reversion is the remaining mortgage</t>
  </si>
  <si>
    <t xml:space="preserve">  Less: RMB</t>
  </si>
  <si>
    <t xml:space="preserve">  Equals: Equity Residual</t>
  </si>
  <si>
    <t>Reversion Calculations for Proof</t>
  </si>
  <si>
    <t>of year 10.</t>
  </si>
  <si>
    <t>balance (RMB) of the loan in at the end</t>
  </si>
  <si>
    <t>Year 10 Cash Flow Calculations</t>
  </si>
  <si>
    <t xml:space="preserve">   Less: Selling Expenses</t>
  </si>
  <si>
    <t xml:space="preserve">   Equals: Net sales price</t>
  </si>
  <si>
    <t>Cornell University</t>
  </si>
  <si>
    <t>School of Hotel Administration</t>
  </si>
  <si>
    <t>All Rights Reserved</t>
  </si>
  <si>
    <t>NPV of the Cash Flows</t>
  </si>
  <si>
    <t>NPV of the Mortgage Payments</t>
  </si>
  <si>
    <t>V</t>
  </si>
  <si>
    <t>NPV of the Equity</t>
  </si>
  <si>
    <t xml:space="preserve">   Value of the Property</t>
  </si>
  <si>
    <r>
      <t>f*M*1/S</t>
    </r>
    <r>
      <rPr>
        <vertAlign val="subscript"/>
        <sz val="10"/>
        <rFont val="Arial"/>
        <family val="2"/>
      </rPr>
      <t>n</t>
    </r>
  </si>
  <si>
    <t xml:space="preserve">   Mortgage Component</t>
  </si>
  <si>
    <t>Net Sales Price (cell F37)</t>
  </si>
  <si>
    <t>Net Sales Price (cell F72)</t>
  </si>
  <si>
    <t>On-line courses covering the use of the software and advanced</t>
  </si>
  <si>
    <t xml:space="preserve">modeling techniques are offered through the Executive </t>
  </si>
  <si>
    <t>Education department of the Cornell University Hotel School;</t>
  </si>
  <si>
    <t>go to www.hotelschool.cornell.edu/execed or send an e-mail to</t>
  </si>
  <si>
    <t>exec_ed_hotel@cornell.edu.  The office can be reached at 607-255-4919.</t>
  </si>
  <si>
    <t>Hospitality Valuation Software, 5th Edition</t>
  </si>
  <si>
    <t>Version 5.0 - For Distribution via eCornell and the Center for Hospitality Research</t>
  </si>
  <si>
    <t>by Jan A. deRoos, Ph.D.</t>
  </si>
  <si>
    <t>HVS Professor of Hotel Finance and Real Estate</t>
  </si>
  <si>
    <t>SC Johnson College of Business</t>
  </si>
  <si>
    <t>465 Statler Hall</t>
  </si>
  <si>
    <t>Ithaca, NY  14853</t>
  </si>
  <si>
    <t>jad10@cornell.edu</t>
  </si>
  <si>
    <t>associated with Cornell University, including the SC Johnson College</t>
  </si>
  <si>
    <t>of Business and eCornell will provide any type of software support</t>
  </si>
  <si>
    <t>as part of the distribution.</t>
  </si>
  <si>
    <t>Inputs for Debt Coverage Ratio Based Model:</t>
  </si>
  <si>
    <t>Inputs for Debt Yield Based Model:</t>
  </si>
  <si>
    <t>Hotel Valuation Software, Version 5.0 - Hotel Mortgage-Equity Valuation Model Input Sheet</t>
  </si>
  <si>
    <t>Debt Yield</t>
  </si>
  <si>
    <t>Hotel Valuation Software, Version 5.0 - Hotel Mortgage-Equity Valuation Model Calculation Sheet</t>
  </si>
  <si>
    <t>LTV Solution:</t>
  </si>
  <si>
    <t>Debt Yield Calcs:</t>
  </si>
  <si>
    <t>Value of the Property (Debt Yield)</t>
  </si>
  <si>
    <t>Cash Flows</t>
  </si>
  <si>
    <t>Enter the Year of the Cash Flow to be used</t>
  </si>
  <si>
    <t>Stabilized Year's Cash Flow</t>
  </si>
  <si>
    <t>Overall Valuation Inputs:</t>
  </si>
  <si>
    <t>Project Information:</t>
  </si>
  <si>
    <t>Cash Flow for DCR Calcs</t>
  </si>
  <si>
    <t>Total Appreciation</t>
  </si>
  <si>
    <t>Annual Appreciation</t>
  </si>
  <si>
    <t>Cash Flow Return</t>
  </si>
  <si>
    <t>Appreciation Return</t>
  </si>
  <si>
    <t>Stabilized Going In Cap Rate</t>
  </si>
  <si>
    <t>Project Metrics</t>
  </si>
  <si>
    <t>Hotel Valuation Software, Version 5.0 - Hotel Mortgage-Equity Valuation Model LTV Output</t>
  </si>
  <si>
    <t>Hotel Valuation Software, Version 5.0 - Hotel Mortgage-Equity Valuation Model DCR Output</t>
  </si>
  <si>
    <t>Hotel Valuation Software, Version 5.0 - Hotel Mortgage-Equity Valuation Model Debt Yield Output</t>
  </si>
  <si>
    <t>Year 10 Cash Flow of</t>
  </si>
  <si>
    <t>Hotel Room Count</t>
  </si>
  <si>
    <t>Value</t>
  </si>
  <si>
    <t>Room ($)</t>
  </si>
  <si>
    <t>Value per</t>
  </si>
  <si>
    <t>Debt Yield Model:</t>
  </si>
  <si>
    <t>Underwriting Matrix</t>
  </si>
  <si>
    <t xml:space="preserve">As a freely downloadable tool, neither the author, nor any entity </t>
  </si>
  <si>
    <t>Legend</t>
  </si>
  <si>
    <t>Mandatory Input</t>
  </si>
  <si>
    <t>Optional Input</t>
  </si>
  <si>
    <t>Output</t>
  </si>
  <si>
    <t>Year Number</t>
  </si>
  <si>
    <r>
      <t>Stabilized Year (</t>
    </r>
    <r>
      <rPr>
        <i/>
        <sz val="9"/>
        <rFont val="Arial"/>
        <family val="2"/>
      </rPr>
      <t>1, 2, 3 … not 2020</t>
    </r>
    <r>
      <rPr>
        <sz val="9"/>
        <rFont val="Arial"/>
        <family val="2"/>
      </rPr>
      <t>)</t>
    </r>
  </si>
  <si>
    <t>Equity Dividend Rate</t>
  </si>
  <si>
    <t xml:space="preserve"> </t>
  </si>
  <si>
    <t>HVS</t>
  </si>
  <si>
    <t>Copyright 2017 by Jan A. deRoos and Stephen Rushmore</t>
  </si>
  <si>
    <t>Steve Rushmore</t>
  </si>
  <si>
    <t>Founder</t>
  </si>
  <si>
    <t>38B Marlin Lane</t>
  </si>
  <si>
    <t>Key Largo, FL  33037</t>
  </si>
  <si>
    <t>srushmore@hvs.com</t>
  </si>
  <si>
    <t>Hotel Mortgage-Equity Valuation Model</t>
  </si>
  <si>
    <t>Sample Inn</t>
  </si>
  <si>
    <t>Jan A. deRoos</t>
  </si>
  <si>
    <t>eCornell</t>
  </si>
  <si>
    <t>Inputs for Loan-to-Value Ratio Based Model: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</si>
</sst>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000_);_(* \(#,##0.00000\);_(* &quot;-&quot;??_);_(@_)"/>
    <numFmt numFmtId="166" formatCode="_(* #,##0.000000_);_(* \(#,##0.000000\);_(* &quot;-&quot;??_);_(@_)"/>
    <numFmt numFmtId="167" formatCode="_(&quot;$&quot;* #,##0_);_(&quot;$&quot;* \(#,##0\);_(&quot;$&quot;* &quot;-&quot;??_);_(@_)"/>
    <numFmt numFmtId="168" formatCode="0.0000"/>
    <numFmt numFmtId="169" formatCode="0.000000"/>
    <numFmt numFmtId="170" formatCode="0.00000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vertAlign val="subscript"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9" fillId="2" borderId="0" applyNumberFormat="0" applyBorder="0" applyAlignment="0" applyProtection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13" fillId="0" borderId="0" applyNumberFormat="0" applyFill="0" applyBorder="0" applyAlignment="0" applyProtection="0">
      <alignment vertical="top"/>
      <protection locked="0"/>
    </xf>
    <xf numFmtId="10" fontId="9" fillId="3" borderId="3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0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/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/>
    <xf numFmtId="165" fontId="2" fillId="0" borderId="0" xfId="1" applyNumberFormat="1" applyFont="1"/>
    <xf numFmtId="168" fontId="2" fillId="0" borderId="0" xfId="0" applyNumberFormat="1" applyFont="1"/>
    <xf numFmtId="44" fontId="2" fillId="0" borderId="0" xfId="0" applyNumberFormat="1" applyFont="1"/>
    <xf numFmtId="42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0" fontId="2" fillId="0" borderId="4" xfId="0" applyFont="1" applyBorder="1"/>
    <xf numFmtId="44" fontId="2" fillId="0" borderId="0" xfId="2" applyFont="1"/>
    <xf numFmtId="44" fontId="2" fillId="0" borderId="0" xfId="2" applyNumberFormat="1" applyFont="1"/>
    <xf numFmtId="167" fontId="2" fillId="0" borderId="0" xfId="0" applyNumberFormat="1" applyFont="1"/>
    <xf numFmtId="44" fontId="2" fillId="0" borderId="4" xfId="0" applyNumberFormat="1" applyFont="1" applyBorder="1"/>
    <xf numFmtId="0" fontId="4" fillId="0" borderId="0" xfId="0" applyFont="1"/>
    <xf numFmtId="0" fontId="2" fillId="4" borderId="4" xfId="0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2" fillId="0" borderId="0" xfId="0" applyFont="1" applyBorder="1"/>
    <xf numFmtId="10" fontId="2" fillId="0" borderId="0" xfId="0" applyNumberFormat="1" applyFont="1"/>
    <xf numFmtId="167" fontId="2" fillId="0" borderId="4" xfId="0" applyNumberFormat="1" applyFont="1" applyBorder="1"/>
    <xf numFmtId="10" fontId="2" fillId="0" borderId="4" xfId="0" applyNumberFormat="1" applyFont="1" applyBorder="1"/>
    <xf numFmtId="10" fontId="2" fillId="4" borderId="4" xfId="9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right"/>
    </xf>
    <xf numFmtId="169" fontId="2" fillId="0" borderId="0" xfId="0" applyNumberFormat="1" applyFont="1"/>
    <xf numFmtId="42" fontId="2" fillId="0" borderId="4" xfId="0" applyNumberFormat="1" applyFont="1" applyBorder="1"/>
    <xf numFmtId="169" fontId="2" fillId="0" borderId="4" xfId="0" applyNumberFormat="1" applyFont="1" applyBorder="1"/>
    <xf numFmtId="0" fontId="2" fillId="0" borderId="0" xfId="0" applyFont="1" applyFill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4" borderId="4" xfId="0" applyFont="1" applyFill="1" applyBorder="1" applyAlignment="1">
      <alignment horizontal="left"/>
    </xf>
    <xf numFmtId="0" fontId="0" fillId="0" borderId="9" xfId="0" applyBorder="1"/>
    <xf numFmtId="0" fontId="7" fillId="0" borderId="0" xfId="0" applyFont="1" applyBorder="1"/>
    <xf numFmtId="0" fontId="0" fillId="0" borderId="12" xfId="0" applyBorder="1"/>
    <xf numFmtId="0" fontId="0" fillId="0" borderId="0" xfId="0" applyBorder="1"/>
    <xf numFmtId="164" fontId="2" fillId="4" borderId="4" xfId="9" applyNumberFormat="1" applyFont="1" applyFill="1" applyBorder="1" applyAlignment="1">
      <alignment horizontal="center"/>
    </xf>
    <xf numFmtId="0" fontId="2" fillId="0" borderId="12" xfId="0" applyFont="1" applyBorder="1"/>
    <xf numFmtId="0" fontId="2" fillId="0" borderId="12" xfId="0" quotePrefix="1" applyFont="1" applyBorder="1" applyAlignment="1">
      <alignment horizontal="left"/>
    </xf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42" fontId="2" fillId="0" borderId="0" xfId="0" applyNumberFormat="1" applyFont="1" applyBorder="1"/>
    <xf numFmtId="0" fontId="2" fillId="0" borderId="0" xfId="0" quotePrefix="1" applyFont="1" applyBorder="1" applyAlignment="1">
      <alignment horizontal="left"/>
    </xf>
    <xf numFmtId="167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4" borderId="0" xfId="0" quotePrefix="1" applyFont="1" applyFill="1" applyAlignment="1">
      <alignment horizontal="right"/>
    </xf>
    <xf numFmtId="0" fontId="10" fillId="0" borderId="0" xfId="0" applyFont="1"/>
    <xf numFmtId="0" fontId="11" fillId="0" borderId="0" xfId="0" applyFont="1"/>
    <xf numFmtId="0" fontId="8" fillId="0" borderId="0" xfId="0" applyFont="1"/>
    <xf numFmtId="0" fontId="2" fillId="0" borderId="2" xfId="0" applyFont="1" applyBorder="1"/>
    <xf numFmtId="170" fontId="2" fillId="0" borderId="0" xfId="0" applyNumberFormat="1" applyFont="1"/>
    <xf numFmtId="43" fontId="2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6" applyFont="1" applyAlignment="1" applyProtection="1"/>
    <xf numFmtId="0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quotePrefix="1" applyFont="1" applyAlignment="1">
      <alignment horizontal="left"/>
    </xf>
    <xf numFmtId="0" fontId="1" fillId="0" borderId="0" xfId="0" applyFont="1"/>
    <xf numFmtId="0" fontId="2" fillId="0" borderId="13" xfId="0" applyFont="1" applyBorder="1"/>
    <xf numFmtId="8" fontId="2" fillId="0" borderId="0" xfId="0" applyNumberFormat="1" applyFont="1"/>
    <xf numFmtId="44" fontId="0" fillId="0" borderId="0" xfId="0" applyNumberFormat="1"/>
    <xf numFmtId="10" fontId="2" fillId="0" borderId="0" xfId="9" applyNumberFormat="1" applyFont="1"/>
    <xf numFmtId="10" fontId="2" fillId="0" borderId="0" xfId="0" applyNumberFormat="1" applyFont="1" applyBorder="1"/>
    <xf numFmtId="10" fontId="0" fillId="0" borderId="0" xfId="0" applyNumberFormat="1"/>
    <xf numFmtId="10" fontId="2" fillId="0" borderId="4" xfId="9" applyNumberFormat="1" applyFont="1" applyBorder="1"/>
    <xf numFmtId="0" fontId="0" fillId="0" borderId="10" xfId="0" applyBorder="1"/>
    <xf numFmtId="0" fontId="2" fillId="0" borderId="14" xfId="0" applyFont="1" applyBorder="1"/>
    <xf numFmtId="0" fontId="2" fillId="0" borderId="15" xfId="0" applyFont="1" applyBorder="1"/>
    <xf numFmtId="0" fontId="0" fillId="0" borderId="15" xfId="0" applyBorder="1"/>
    <xf numFmtId="0" fontId="17" fillId="4" borderId="0" xfId="0" applyFont="1" applyFill="1"/>
    <xf numFmtId="0" fontId="17" fillId="4" borderId="0" xfId="0" applyFont="1" applyFill="1" applyAlignment="1">
      <alignment horizontal="center"/>
    </xf>
    <xf numFmtId="6" fontId="17" fillId="4" borderId="4" xfId="0" quotePrefix="1" applyNumberFormat="1" applyFont="1" applyFill="1" applyBorder="1" applyAlignment="1">
      <alignment horizontal="center"/>
    </xf>
    <xf numFmtId="0" fontId="17" fillId="4" borderId="4" xfId="0" applyFont="1" applyFill="1" applyBorder="1"/>
    <xf numFmtId="0" fontId="1" fillId="0" borderId="13" xfId="0" applyFont="1" applyBorder="1"/>
    <xf numFmtId="0" fontId="1" fillId="0" borderId="2" xfId="0" applyFont="1" applyBorder="1"/>
    <xf numFmtId="0" fontId="2" fillId="5" borderId="3" xfId="0" applyFont="1" applyFill="1" applyBorder="1" applyAlignment="1">
      <alignment horizontal="center"/>
    </xf>
    <xf numFmtId="0" fontId="1" fillId="0" borderId="11" xfId="0" applyFont="1" applyBorder="1"/>
    <xf numFmtId="0" fontId="0" fillId="0" borderId="4" xfId="0" applyBorder="1"/>
    <xf numFmtId="0" fontId="0" fillId="0" borderId="3" xfId="0" applyBorder="1"/>
    <xf numFmtId="0" fontId="5" fillId="4" borderId="13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left"/>
    </xf>
    <xf numFmtId="0" fontId="2" fillId="4" borderId="2" xfId="0" applyFont="1" applyFill="1" applyBorder="1"/>
    <xf numFmtId="0" fontId="17" fillId="4" borderId="2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3" fillId="6" borderId="6" xfId="0" applyFont="1" applyFill="1" applyBorder="1"/>
    <xf numFmtId="167" fontId="3" fillId="6" borderId="6" xfId="2" applyNumberFormat="1" applyFont="1" applyFill="1" applyBorder="1"/>
    <xf numFmtId="164" fontId="3" fillId="6" borderId="7" xfId="9" applyNumberFormat="1" applyFont="1" applyFill="1" applyBorder="1"/>
    <xf numFmtId="167" fontId="2" fillId="0" borderId="10" xfId="0" applyNumberFormat="1" applyFont="1" applyBorder="1"/>
    <xf numFmtId="39" fontId="2" fillId="0" borderId="10" xfId="0" applyNumberFormat="1" applyFont="1" applyBorder="1"/>
    <xf numFmtId="10" fontId="2" fillId="0" borderId="0" xfId="9" applyNumberFormat="1" applyFont="1" applyBorder="1"/>
    <xf numFmtId="0" fontId="13" fillId="0" borderId="0" xfId="6" applyAlignment="1" applyProtection="1"/>
    <xf numFmtId="0" fontId="17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7" fillId="7" borderId="5" xfId="0" applyFont="1" applyFill="1" applyBorder="1"/>
    <xf numFmtId="0" fontId="1" fillId="0" borderId="12" xfId="0" applyFont="1" applyBorder="1"/>
    <xf numFmtId="0" fontId="1" fillId="0" borderId="0" xfId="0" applyFont="1" applyBorder="1"/>
    <xf numFmtId="0" fontId="7" fillId="7" borderId="6" xfId="0" applyFont="1" applyFill="1" applyBorder="1"/>
    <xf numFmtId="9" fontId="3" fillId="7" borderId="3" xfId="9" applyFont="1" applyFill="1" applyBorder="1" applyProtection="1">
      <protection locked="0"/>
    </xf>
    <xf numFmtId="0" fontId="1" fillId="0" borderId="4" xfId="0" applyFont="1" applyBorder="1"/>
    <xf numFmtId="0" fontId="7" fillId="7" borderId="7" xfId="0" quotePrefix="1" applyFont="1" applyFill="1" applyBorder="1"/>
    <xf numFmtId="0" fontId="3" fillId="7" borderId="5" xfId="0" applyFont="1" applyFill="1" applyBorder="1"/>
    <xf numFmtId="167" fontId="3" fillId="7" borderId="5" xfId="2" applyNumberFormat="1" applyFont="1" applyFill="1" applyBorder="1"/>
    <xf numFmtId="0" fontId="3" fillId="7" borderId="6" xfId="0" applyFont="1" applyFill="1" applyBorder="1"/>
    <xf numFmtId="167" fontId="3" fillId="7" borderId="6" xfId="2" applyNumberFormat="1" applyFont="1" applyFill="1" applyBorder="1"/>
    <xf numFmtId="164" fontId="3" fillId="7" borderId="6" xfId="9" applyNumberFormat="1" applyFont="1" applyFill="1" applyBorder="1"/>
    <xf numFmtId="10" fontId="3" fillId="7" borderId="6" xfId="9" applyNumberFormat="1" applyFont="1" applyFill="1" applyBorder="1"/>
    <xf numFmtId="167" fontId="3" fillId="7" borderId="7" xfId="2" applyNumberFormat="1" applyFont="1" applyFill="1" applyBorder="1"/>
    <xf numFmtId="9" fontId="3" fillId="7" borderId="3" xfId="9" applyFont="1" applyFill="1" applyBorder="1"/>
    <xf numFmtId="0" fontId="3" fillId="7" borderId="7" xfId="0" applyFont="1" applyFill="1" applyBorder="1"/>
    <xf numFmtId="0" fontId="2" fillId="8" borderId="0" xfId="0" applyFont="1" applyFill="1" applyBorder="1"/>
    <xf numFmtId="0" fontId="2" fillId="8" borderId="0" xfId="0" applyFont="1" applyFill="1"/>
    <xf numFmtId="0" fontId="2" fillId="8" borderId="4" xfId="0" applyFont="1" applyFill="1" applyBorder="1"/>
    <xf numFmtId="0" fontId="2" fillId="8" borderId="10" xfId="0" applyFont="1" applyFill="1" applyBorder="1" applyAlignment="1">
      <alignment horizontal="right"/>
    </xf>
    <xf numFmtId="0" fontId="2" fillId="8" borderId="0" xfId="0" applyFont="1" applyFill="1" applyBorder="1" applyAlignment="1">
      <alignment horizontal="right"/>
    </xf>
    <xf numFmtId="0" fontId="2" fillId="8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right"/>
    </xf>
    <xf numFmtId="0" fontId="2" fillId="4" borderId="4" xfId="0" quotePrefix="1" applyFont="1" applyFill="1" applyBorder="1" applyAlignment="1">
      <alignment horizontal="left"/>
    </xf>
    <xf numFmtId="0" fontId="17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</cellXfs>
  <cellStyles count="11">
    <cellStyle name="Comma" xfId="1" builtinId="3"/>
    <cellStyle name="Currency" xfId="2" builtinId="4"/>
    <cellStyle name="Grey" xfId="3" xr:uid="{00000000-0005-0000-0000-000002000000}"/>
    <cellStyle name="Header1" xfId="4" xr:uid="{00000000-0005-0000-0000-000003000000}"/>
    <cellStyle name="Header2" xfId="5" xr:uid="{00000000-0005-0000-0000-000004000000}"/>
    <cellStyle name="Hyperlink" xfId="6" builtinId="8"/>
    <cellStyle name="Input [yellow]" xfId="7" xr:uid="{00000000-0005-0000-0000-000006000000}"/>
    <cellStyle name="Normal" xfId="0" builtinId="0"/>
    <cellStyle name="Normal - Style1" xfId="8" xr:uid="{00000000-0005-0000-0000-000008000000}"/>
    <cellStyle name="Percent" xfId="9" builtinId="5"/>
    <cellStyle name="Percent [2]" xfId="10" xr:uid="{00000000-0005-0000-0000-00000A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rushmore@hvs.com" TargetMode="External"/><Relationship Id="rId1" Type="http://schemas.openxmlformats.org/officeDocument/2006/relationships/hyperlink" Target="mailto:jad10@cornell.ed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4"/>
  <sheetViews>
    <sheetView showGridLines="0" tabSelected="1" workbookViewId="0"/>
  </sheetViews>
  <sheetFormatPr defaultColWidth="8.85546875" defaultRowHeight="12.75" x14ac:dyDescent="0.2"/>
  <cols>
    <col min="1" max="1" width="3.7109375" customWidth="1"/>
  </cols>
  <sheetData>
    <row r="1" spans="2:11" ht="20.25" x14ac:dyDescent="0.3">
      <c r="B1" s="54" t="s">
        <v>104</v>
      </c>
    </row>
    <row r="2" spans="2:11" ht="15" x14ac:dyDescent="0.25">
      <c r="B2" s="60" t="s">
        <v>105</v>
      </c>
    </row>
    <row r="3" spans="2:11" ht="15" x14ac:dyDescent="0.25">
      <c r="B3" s="60"/>
    </row>
    <row r="4" spans="2:11" ht="15" x14ac:dyDescent="0.25">
      <c r="B4" s="60" t="s">
        <v>161</v>
      </c>
    </row>
    <row r="5" spans="2:11" s="56" customFormat="1" x14ac:dyDescent="0.2">
      <c r="B5"/>
      <c r="C5"/>
      <c r="D5"/>
      <c r="E5"/>
      <c r="F5"/>
      <c r="G5"/>
      <c r="H5"/>
      <c r="I5"/>
      <c r="J5"/>
      <c r="K5"/>
    </row>
    <row r="6" spans="2:11" s="56" customFormat="1" ht="15" x14ac:dyDescent="0.2">
      <c r="B6" s="55" t="s">
        <v>106</v>
      </c>
      <c r="C6"/>
      <c r="D6"/>
      <c r="E6"/>
      <c r="F6"/>
      <c r="G6"/>
      <c r="H6" s="55" t="s">
        <v>156</v>
      </c>
      <c r="I6"/>
      <c r="J6"/>
      <c r="K6"/>
    </row>
    <row r="7" spans="2:11" s="56" customFormat="1" ht="14.25" x14ac:dyDescent="0.2">
      <c r="B7" s="61" t="s">
        <v>107</v>
      </c>
      <c r="C7" s="66"/>
      <c r="D7" s="66"/>
      <c r="E7" s="66"/>
      <c r="F7" s="66"/>
      <c r="G7" s="66"/>
      <c r="H7" s="61" t="s">
        <v>157</v>
      </c>
      <c r="I7" s="66"/>
      <c r="J7" s="66"/>
      <c r="K7" s="66"/>
    </row>
    <row r="8" spans="2:11" s="56" customFormat="1" ht="14.25" x14ac:dyDescent="0.2">
      <c r="B8" s="61" t="s">
        <v>87</v>
      </c>
      <c r="C8" s="66"/>
      <c r="D8" s="66"/>
      <c r="E8" s="66"/>
      <c r="F8" s="66"/>
      <c r="G8" s="66"/>
      <c r="H8" s="61" t="s">
        <v>154</v>
      </c>
      <c r="I8" s="66"/>
      <c r="J8" s="66"/>
      <c r="K8" s="66"/>
    </row>
    <row r="9" spans="2:11" s="56" customFormat="1" ht="14.25" x14ac:dyDescent="0.2">
      <c r="B9" s="61" t="s">
        <v>108</v>
      </c>
      <c r="C9" s="66"/>
      <c r="D9" s="66"/>
      <c r="E9" s="66"/>
      <c r="F9" s="66"/>
      <c r="G9" s="66"/>
      <c r="H9" s="61" t="s">
        <v>158</v>
      </c>
      <c r="I9" s="66"/>
      <c r="J9" s="66"/>
      <c r="K9" s="66"/>
    </row>
    <row r="10" spans="2:11" s="56" customFormat="1" ht="14.25" x14ac:dyDescent="0.2">
      <c r="B10" s="61" t="s">
        <v>88</v>
      </c>
      <c r="C10" s="66"/>
      <c r="D10" s="66"/>
      <c r="E10" s="66"/>
      <c r="F10" s="66"/>
      <c r="G10" s="66"/>
      <c r="H10" s="61" t="s">
        <v>159</v>
      </c>
      <c r="I10" s="66"/>
      <c r="J10" s="66"/>
      <c r="K10" s="66"/>
    </row>
    <row r="11" spans="2:11" ht="14.25" x14ac:dyDescent="0.2">
      <c r="B11" s="61" t="s">
        <v>109</v>
      </c>
      <c r="C11" s="66"/>
      <c r="D11" s="66"/>
      <c r="E11" s="66"/>
      <c r="F11" s="66"/>
      <c r="G11" s="66"/>
      <c r="H11" s="100" t="s">
        <v>160</v>
      </c>
      <c r="I11" s="66"/>
      <c r="J11" s="66"/>
      <c r="K11" s="66"/>
    </row>
    <row r="12" spans="2:11" ht="14.25" x14ac:dyDescent="0.2">
      <c r="B12" s="61" t="s">
        <v>110</v>
      </c>
      <c r="C12" s="66"/>
      <c r="D12" s="66"/>
      <c r="E12" s="66"/>
      <c r="F12" s="66"/>
      <c r="G12" s="66"/>
      <c r="H12" s="66"/>
      <c r="I12" s="66"/>
      <c r="J12" s="66"/>
      <c r="K12" s="66"/>
    </row>
    <row r="13" spans="2:11" ht="14.25" x14ac:dyDescent="0.2">
      <c r="B13" s="62" t="s">
        <v>111</v>
      </c>
    </row>
    <row r="14" spans="2:11" ht="14.25" x14ac:dyDescent="0.2">
      <c r="B14" s="61"/>
    </row>
    <row r="15" spans="2:11" ht="14.25" x14ac:dyDescent="0.2">
      <c r="B15" s="61" t="s">
        <v>155</v>
      </c>
    </row>
    <row r="16" spans="2:11" ht="14.25" x14ac:dyDescent="0.2">
      <c r="B16" s="61" t="s">
        <v>89</v>
      </c>
    </row>
    <row r="18" spans="2:2" ht="14.25" x14ac:dyDescent="0.2">
      <c r="B18" s="61" t="s">
        <v>145</v>
      </c>
    </row>
    <row r="19" spans="2:2" ht="14.25" x14ac:dyDescent="0.2">
      <c r="B19" s="63" t="s">
        <v>112</v>
      </c>
    </row>
    <row r="20" spans="2:2" ht="14.25" x14ac:dyDescent="0.2">
      <c r="B20" s="61" t="s">
        <v>113</v>
      </c>
    </row>
    <row r="21" spans="2:2" ht="14.25" x14ac:dyDescent="0.2">
      <c r="B21" s="61" t="s">
        <v>114</v>
      </c>
    </row>
    <row r="23" spans="2:2" ht="14.25" x14ac:dyDescent="0.2">
      <c r="B23" s="61"/>
    </row>
    <row r="24" spans="2:2" ht="14.25" x14ac:dyDescent="0.2">
      <c r="B24" s="64" t="s">
        <v>99</v>
      </c>
    </row>
    <row r="25" spans="2:2" ht="14.25" x14ac:dyDescent="0.2">
      <c r="B25" s="64" t="s">
        <v>100</v>
      </c>
    </row>
    <row r="26" spans="2:2" ht="14.25" x14ac:dyDescent="0.2">
      <c r="B26" s="65" t="s">
        <v>101</v>
      </c>
    </row>
    <row r="27" spans="2:2" ht="14.25" x14ac:dyDescent="0.2">
      <c r="B27" s="65" t="s">
        <v>102</v>
      </c>
    </row>
    <row r="28" spans="2:2" ht="14.25" x14ac:dyDescent="0.2">
      <c r="B28" s="61" t="s">
        <v>103</v>
      </c>
    </row>
    <row r="30" spans="2:2" ht="14.25" x14ac:dyDescent="0.2">
      <c r="B30" s="61"/>
    </row>
    <row r="31" spans="2:2" ht="14.25" x14ac:dyDescent="0.2">
      <c r="B31" s="61"/>
    </row>
    <row r="32" spans="2:2" ht="14.25" x14ac:dyDescent="0.2">
      <c r="B32" s="61"/>
    </row>
    <row r="33" spans="2:2" ht="14.25" x14ac:dyDescent="0.2">
      <c r="B33" s="61"/>
    </row>
    <row r="34" spans="2:2" ht="14.25" x14ac:dyDescent="0.2">
      <c r="B34" s="61"/>
    </row>
  </sheetData>
  <phoneticPr fontId="0" type="noConversion"/>
  <hyperlinks>
    <hyperlink ref="B13" r:id="rId1" xr:uid="{00000000-0004-0000-0000-000000000000}"/>
    <hyperlink ref="H11" r:id="rId2" xr:uid="{00000000-0004-0000-0000-000001000000}"/>
  </hyperlinks>
  <pageMargins left="0.75" right="0.75" top="1" bottom="1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0"/>
  <sheetViews>
    <sheetView showGridLines="0" workbookViewId="0"/>
  </sheetViews>
  <sheetFormatPr defaultColWidth="8.85546875" defaultRowHeight="12" x14ac:dyDescent="0.2"/>
  <cols>
    <col min="1" max="2" width="3.7109375" style="1" customWidth="1"/>
    <col min="3" max="3" width="11.42578125" style="1" customWidth="1"/>
    <col min="4" max="4" width="28.28515625" style="1" customWidth="1"/>
    <col min="5" max="5" width="9.7109375" style="1" customWidth="1"/>
    <col min="6" max="6" width="3.7109375" style="1" customWidth="1"/>
    <col min="7" max="7" width="11.7109375" style="1" customWidth="1"/>
    <col min="8" max="8" width="8.85546875" style="1"/>
    <col min="9" max="9" width="11.7109375" style="1" customWidth="1"/>
    <col min="10" max="10" width="8.85546875" style="1"/>
    <col min="11" max="11" width="12.7109375" style="1" customWidth="1"/>
    <col min="12" max="16384" width="8.85546875" style="1"/>
  </cols>
  <sheetData>
    <row r="1" spans="2:9" ht="15.75" x14ac:dyDescent="0.25">
      <c r="B1" s="16" t="s">
        <v>117</v>
      </c>
    </row>
    <row r="2" spans="2:9" ht="13.35" customHeight="1" x14ac:dyDescent="0.25">
      <c r="C2" s="16"/>
    </row>
    <row r="3" spans="2:9" ht="13.35" customHeight="1" x14ac:dyDescent="0.2">
      <c r="B3" s="88" t="s">
        <v>127</v>
      </c>
      <c r="C3" s="89"/>
      <c r="D3" s="90"/>
      <c r="E3"/>
      <c r="G3" s="88" t="s">
        <v>146</v>
      </c>
      <c r="H3" s="89"/>
      <c r="I3" s="90"/>
    </row>
    <row r="4" spans="2:9" ht="13.35" customHeight="1" x14ac:dyDescent="0.2">
      <c r="B4" s="40" t="s">
        <v>72</v>
      </c>
      <c r="C4" s="74"/>
      <c r="D4" s="103" t="s">
        <v>162</v>
      </c>
      <c r="E4"/>
      <c r="G4" s="42"/>
      <c r="H4" s="43"/>
      <c r="I4" s="77"/>
    </row>
    <row r="5" spans="2:9" ht="13.35" customHeight="1" x14ac:dyDescent="0.2">
      <c r="B5" s="104" t="s">
        <v>73</v>
      </c>
      <c r="C5" s="105"/>
      <c r="D5" s="106" t="s">
        <v>163</v>
      </c>
      <c r="E5"/>
      <c r="G5" s="82" t="s">
        <v>147</v>
      </c>
      <c r="H5" s="83"/>
      <c r="I5" s="107"/>
    </row>
    <row r="6" spans="2:9" ht="13.35" customHeight="1" x14ac:dyDescent="0.2">
      <c r="B6" s="42" t="s">
        <v>74</v>
      </c>
      <c r="C6" s="43"/>
      <c r="D6" s="106" t="s">
        <v>164</v>
      </c>
      <c r="E6"/>
      <c r="G6" s="82" t="s">
        <v>148</v>
      </c>
      <c r="H6" s="83"/>
      <c r="I6" s="84"/>
    </row>
    <row r="7" spans="2:9" ht="13.35" customHeight="1" x14ac:dyDescent="0.2">
      <c r="B7" s="85" t="s">
        <v>75</v>
      </c>
      <c r="C7" s="108"/>
      <c r="D7" s="109"/>
      <c r="E7"/>
      <c r="G7" s="85" t="s">
        <v>149</v>
      </c>
      <c r="H7" s="86"/>
      <c r="I7" s="87"/>
    </row>
    <row r="8" spans="2:9" ht="13.35" customHeight="1" x14ac:dyDescent="0.2">
      <c r="C8" s="43"/>
      <c r="D8" s="41"/>
      <c r="E8" s="43"/>
      <c r="G8" s="43"/>
      <c r="H8" s="43"/>
      <c r="I8" s="43"/>
    </row>
    <row r="9" spans="2:9" ht="13.35" customHeight="1" x14ac:dyDescent="0.2">
      <c r="B9" s="88" t="s">
        <v>126</v>
      </c>
      <c r="C9" s="89"/>
      <c r="D9" s="91"/>
      <c r="E9" s="91"/>
      <c r="F9" s="91"/>
      <c r="G9" s="92" t="s">
        <v>150</v>
      </c>
      <c r="H9" s="92" t="s">
        <v>15</v>
      </c>
      <c r="I9" s="93" t="s">
        <v>123</v>
      </c>
    </row>
    <row r="10" spans="2:9" ht="13.35" customHeight="1" x14ac:dyDescent="0.2">
      <c r="B10" s="36" t="s">
        <v>27</v>
      </c>
      <c r="C10" s="74"/>
      <c r="E10" s="110">
        <v>2016</v>
      </c>
      <c r="G10" s="32" t="s">
        <v>16</v>
      </c>
      <c r="H10" s="29">
        <f>E10</f>
        <v>2016</v>
      </c>
      <c r="I10" s="111">
        <v>1174</v>
      </c>
    </row>
    <row r="11" spans="2:9" ht="13.35" customHeight="1" x14ac:dyDescent="0.2">
      <c r="B11" s="45" t="s">
        <v>139</v>
      </c>
      <c r="C11" s="105"/>
      <c r="E11" s="112">
        <v>125</v>
      </c>
      <c r="G11" s="33" t="s">
        <v>17</v>
      </c>
      <c r="H11" s="30">
        <f>H10+1</f>
        <v>2017</v>
      </c>
      <c r="I11" s="113">
        <v>1210</v>
      </c>
    </row>
    <row r="12" spans="2:9" ht="13.35" customHeight="1" x14ac:dyDescent="0.2">
      <c r="B12" s="45" t="s">
        <v>1</v>
      </c>
      <c r="C12" s="43"/>
      <c r="E12" s="114">
        <v>0.18</v>
      </c>
      <c r="G12" s="33" t="s">
        <v>18</v>
      </c>
      <c r="H12" s="30">
        <f t="shared" ref="H12:H20" si="0">H11+1</f>
        <v>2018</v>
      </c>
      <c r="I12" s="113">
        <v>1214</v>
      </c>
    </row>
    <row r="13" spans="2:9" ht="13.35" customHeight="1" x14ac:dyDescent="0.2">
      <c r="B13" s="45" t="s">
        <v>2</v>
      </c>
      <c r="C13" s="43"/>
      <c r="E13" s="115">
        <v>5.5E-2</v>
      </c>
      <c r="G13" s="33" t="s">
        <v>19</v>
      </c>
      <c r="H13" s="30">
        <f t="shared" si="0"/>
        <v>2019</v>
      </c>
      <c r="I13" s="113">
        <v>1250</v>
      </c>
    </row>
    <row r="14" spans="2:9" ht="13.35" customHeight="1" x14ac:dyDescent="0.2">
      <c r="B14" s="45" t="s">
        <v>36</v>
      </c>
      <c r="C14" s="43"/>
      <c r="E14" s="112">
        <v>25</v>
      </c>
      <c r="G14" s="33" t="s">
        <v>20</v>
      </c>
      <c r="H14" s="30">
        <f t="shared" si="0"/>
        <v>2020</v>
      </c>
      <c r="I14" s="113">
        <v>1288</v>
      </c>
    </row>
    <row r="15" spans="2:9" ht="13.35" customHeight="1" x14ac:dyDescent="0.2">
      <c r="B15" s="45" t="s">
        <v>5</v>
      </c>
      <c r="C15" s="43"/>
      <c r="E15" s="112">
        <v>12</v>
      </c>
      <c r="G15" s="33" t="s">
        <v>21</v>
      </c>
      <c r="H15" s="30">
        <f t="shared" si="0"/>
        <v>2021</v>
      </c>
      <c r="I15" s="113">
        <v>1327</v>
      </c>
    </row>
    <row r="16" spans="2:9" ht="13.35" customHeight="1" x14ac:dyDescent="0.2">
      <c r="B16" s="45" t="s">
        <v>4</v>
      </c>
      <c r="C16" s="43"/>
      <c r="E16" s="115">
        <v>0.09</v>
      </c>
      <c r="G16" s="33" t="s">
        <v>22</v>
      </c>
      <c r="H16" s="30">
        <f t="shared" si="0"/>
        <v>2022</v>
      </c>
      <c r="I16" s="113">
        <v>1366</v>
      </c>
    </row>
    <row r="17" spans="2:9" ht="13.35" customHeight="1" x14ac:dyDescent="0.2">
      <c r="B17" s="45" t="s">
        <v>37</v>
      </c>
      <c r="C17" s="43"/>
      <c r="E17" s="114">
        <v>0.03</v>
      </c>
      <c r="G17" s="33" t="s">
        <v>23</v>
      </c>
      <c r="H17" s="30">
        <f t="shared" si="0"/>
        <v>2023</v>
      </c>
      <c r="I17" s="113">
        <v>1409</v>
      </c>
    </row>
    <row r="18" spans="2:9" ht="13.35" customHeight="1" x14ac:dyDescent="0.2">
      <c r="B18" s="46" t="s">
        <v>151</v>
      </c>
      <c r="C18" s="43"/>
      <c r="E18" s="94">
        <v>4</v>
      </c>
      <c r="G18" s="33" t="s">
        <v>24</v>
      </c>
      <c r="H18" s="30">
        <f t="shared" si="0"/>
        <v>2024</v>
      </c>
      <c r="I18" s="113">
        <v>1449</v>
      </c>
    </row>
    <row r="19" spans="2:9" ht="13.35" customHeight="1" x14ac:dyDescent="0.2">
      <c r="B19" s="45" t="s">
        <v>125</v>
      </c>
      <c r="C19" s="43"/>
      <c r="E19" s="95">
        <v>1250</v>
      </c>
      <c r="G19" s="33" t="s">
        <v>25</v>
      </c>
      <c r="H19" s="30">
        <f t="shared" si="0"/>
        <v>2025</v>
      </c>
      <c r="I19" s="113">
        <v>1493</v>
      </c>
    </row>
    <row r="20" spans="2:9" ht="13.35" customHeight="1" x14ac:dyDescent="0.2">
      <c r="B20" s="38" t="s">
        <v>39</v>
      </c>
      <c r="C20" s="108"/>
      <c r="D20" s="35"/>
      <c r="E20" s="96">
        <v>0.03</v>
      </c>
      <c r="F20" s="35"/>
      <c r="G20" s="34" t="s">
        <v>26</v>
      </c>
      <c r="H20" s="31">
        <f t="shared" si="0"/>
        <v>2026</v>
      </c>
      <c r="I20" s="116">
        <v>1539</v>
      </c>
    </row>
    <row r="21" spans="2:9" ht="13.35" customHeight="1" x14ac:dyDescent="0.2"/>
    <row r="22" spans="2:9" ht="13.35" customHeight="1" x14ac:dyDescent="0.2">
      <c r="B22" s="88" t="s">
        <v>144</v>
      </c>
      <c r="C22" s="89"/>
      <c r="D22" s="89"/>
      <c r="E22" s="89"/>
      <c r="F22" s="90"/>
    </row>
    <row r="23" spans="2:9" ht="13.35" customHeight="1" x14ac:dyDescent="0.2">
      <c r="B23" s="36"/>
      <c r="C23" s="37"/>
      <c r="D23" s="37"/>
      <c r="E23" s="37"/>
      <c r="F23" s="75"/>
    </row>
    <row r="24" spans="2:9" ht="13.35" customHeight="1" x14ac:dyDescent="0.2">
      <c r="B24" s="45"/>
      <c r="C24" s="39" t="s">
        <v>165</v>
      </c>
      <c r="D24" s="17"/>
      <c r="E24" s="17"/>
      <c r="F24" s="76"/>
    </row>
    <row r="25" spans="2:9" ht="13.35" customHeight="1" x14ac:dyDescent="0.2">
      <c r="B25" s="45"/>
      <c r="C25" s="67" t="s">
        <v>3</v>
      </c>
      <c r="D25" s="57"/>
      <c r="E25" s="117">
        <v>0.7</v>
      </c>
      <c r="F25" s="76"/>
    </row>
    <row r="26" spans="2:9" ht="13.35" customHeight="1" x14ac:dyDescent="0.2">
      <c r="B26" s="45"/>
      <c r="C26" s="19"/>
      <c r="D26" s="19"/>
      <c r="E26" s="19"/>
      <c r="F26" s="76"/>
    </row>
    <row r="27" spans="2:9" ht="13.35" customHeight="1" x14ac:dyDescent="0.2">
      <c r="B27" s="45"/>
      <c r="C27" s="39" t="s">
        <v>115</v>
      </c>
      <c r="D27" s="17"/>
      <c r="E27" s="17"/>
      <c r="F27" s="77"/>
      <c r="G27"/>
    </row>
    <row r="28" spans="2:9" ht="13.35" customHeight="1" x14ac:dyDescent="0.2">
      <c r="B28" s="45"/>
      <c r="C28" s="36" t="s">
        <v>28</v>
      </c>
      <c r="D28" s="37"/>
      <c r="E28" s="110"/>
      <c r="F28" s="76"/>
    </row>
    <row r="29" spans="2:9" ht="13.35" customHeight="1" x14ac:dyDescent="0.2">
      <c r="B29" s="45"/>
      <c r="C29" s="38" t="s">
        <v>124</v>
      </c>
      <c r="D29" s="11"/>
      <c r="E29" s="118"/>
      <c r="F29" s="76"/>
    </row>
    <row r="30" spans="2:9" ht="13.35" customHeight="1" x14ac:dyDescent="0.2">
      <c r="B30" s="45"/>
      <c r="C30" s="19"/>
      <c r="D30" s="19"/>
      <c r="E30" s="19"/>
      <c r="F30" s="76"/>
    </row>
    <row r="31" spans="2:9" ht="13.35" customHeight="1" x14ac:dyDescent="0.2">
      <c r="B31" s="45"/>
      <c r="C31" s="39" t="s">
        <v>116</v>
      </c>
      <c r="D31" s="17"/>
      <c r="E31" s="17"/>
      <c r="F31" s="76"/>
    </row>
    <row r="32" spans="2:9" x14ac:dyDescent="0.2">
      <c r="B32" s="45"/>
      <c r="C32" s="36" t="s">
        <v>118</v>
      </c>
      <c r="D32" s="37"/>
      <c r="E32" s="115"/>
      <c r="F32" s="76"/>
    </row>
    <row r="33" spans="2:6" x14ac:dyDescent="0.2">
      <c r="B33" s="45"/>
      <c r="C33" s="38" t="s">
        <v>124</v>
      </c>
      <c r="D33" s="11"/>
      <c r="E33" s="118"/>
      <c r="F33" s="76"/>
    </row>
    <row r="34" spans="2:6" x14ac:dyDescent="0.2">
      <c r="B34" s="38"/>
      <c r="C34" s="11"/>
      <c r="D34" s="11"/>
      <c r="E34" s="11"/>
      <c r="F34" s="35"/>
    </row>
    <row r="35" spans="2:6" ht="12.75" x14ac:dyDescent="0.2">
      <c r="C35"/>
      <c r="D35"/>
      <c r="E35"/>
    </row>
    <row r="36" spans="2:6" ht="12.75" x14ac:dyDescent="0.2">
      <c r="C36"/>
      <c r="D36"/>
      <c r="E36"/>
    </row>
    <row r="37" spans="2:6" ht="12.75" x14ac:dyDescent="0.2">
      <c r="C37"/>
      <c r="D37"/>
      <c r="E37"/>
    </row>
    <row r="38" spans="2:6" ht="12.75" x14ac:dyDescent="0.2">
      <c r="C38"/>
      <c r="D38"/>
      <c r="E38"/>
    </row>
    <row r="39" spans="2:6" ht="12.75" x14ac:dyDescent="0.2">
      <c r="C39"/>
      <c r="D39"/>
      <c r="E39"/>
    </row>
    <row r="40" spans="2:6" ht="12.75" x14ac:dyDescent="0.2">
      <c r="C40"/>
      <c r="D40"/>
      <c r="E40"/>
    </row>
  </sheetData>
  <phoneticPr fontId="0" type="noConversion"/>
  <pageMargins left="0.75" right="0.75" top="1" bottom="1" header="0.5" footer="0.5"/>
  <pageSetup orientation="portrait" horizontalDpi="4294967292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B1:H66"/>
  <sheetViews>
    <sheetView workbookViewId="0">
      <selection activeCell="C43" sqref="C43"/>
    </sheetView>
  </sheetViews>
  <sheetFormatPr defaultColWidth="8.85546875" defaultRowHeight="12.75" x14ac:dyDescent="0.2"/>
  <cols>
    <col min="1" max="1" width="3.7109375" customWidth="1"/>
    <col min="2" max="2" width="28.7109375" customWidth="1"/>
    <col min="3" max="3" width="14.140625" customWidth="1"/>
    <col min="4" max="4" width="5.7109375" customWidth="1"/>
    <col min="5" max="6" width="9.7109375" customWidth="1"/>
    <col min="8" max="8" width="12.42578125" customWidth="1"/>
  </cols>
  <sheetData>
    <row r="1" spans="2:8" ht="15.75" x14ac:dyDescent="0.25">
      <c r="B1" s="16" t="s">
        <v>119</v>
      </c>
    </row>
    <row r="2" spans="2:8" ht="13.35" customHeight="1" x14ac:dyDescent="0.2"/>
    <row r="3" spans="2:8" ht="13.35" customHeight="1" x14ac:dyDescent="0.2">
      <c r="B3" s="47" t="s">
        <v>38</v>
      </c>
      <c r="C3" s="47"/>
      <c r="D3" s="48" t="s">
        <v>15</v>
      </c>
      <c r="E3" s="48" t="s">
        <v>40</v>
      </c>
      <c r="F3" s="48" t="s">
        <v>41</v>
      </c>
    </row>
    <row r="4" spans="2:8" ht="13.35" customHeight="1" x14ac:dyDescent="0.2">
      <c r="D4">
        <v>1</v>
      </c>
      <c r="E4" s="8">
        <f>Input!I10</f>
        <v>1174</v>
      </c>
      <c r="F4" s="8">
        <f>IF(D4&lt;Input!$E$18,E4,IF(D4=Input!$E$18,Input!$E$19,E4))</f>
        <v>1174</v>
      </c>
    </row>
    <row r="5" spans="2:8" ht="13.35" customHeight="1" x14ac:dyDescent="0.2">
      <c r="D5">
        <v>2</v>
      </c>
      <c r="E5" s="8">
        <f>Input!I11</f>
        <v>1210</v>
      </c>
      <c r="F5" s="8">
        <f>IF(D5&lt;Input!$E$18,E5,IF(D5=Input!$E$18,Input!$E$19,F4*(1+Input!$E$20)))</f>
        <v>1210</v>
      </c>
    </row>
    <row r="6" spans="2:8" ht="13.35" customHeight="1" x14ac:dyDescent="0.2">
      <c r="D6">
        <v>3</v>
      </c>
      <c r="E6" s="8">
        <f>Input!I12</f>
        <v>1214</v>
      </c>
      <c r="F6" s="8">
        <f>IF(D6&lt;Input!$E$18,E6,IF(D6=Input!$E$18,Input!$E$19,F5*(1+Input!$E$20)))</f>
        <v>1214</v>
      </c>
    </row>
    <row r="7" spans="2:8" ht="13.35" customHeight="1" x14ac:dyDescent="0.2">
      <c r="D7">
        <v>4</v>
      </c>
      <c r="E7" s="8">
        <f>Input!I13</f>
        <v>1250</v>
      </c>
      <c r="F7" s="8">
        <f>IF(D7&lt;Input!$E$18,E7,IF(D7=Input!$E$18,Input!$E$19,F6*(1+Input!$E$20)))</f>
        <v>1250</v>
      </c>
      <c r="H7" s="69"/>
    </row>
    <row r="8" spans="2:8" ht="13.35" customHeight="1" x14ac:dyDescent="0.2">
      <c r="D8">
        <v>5</v>
      </c>
      <c r="E8" s="8">
        <f>Input!I14</f>
        <v>1288</v>
      </c>
      <c r="F8" s="8">
        <f>IF(D8&lt;Input!$E$18,E8,IF(D8=Input!$E$18,Input!$E$19,F7*(1+Input!$E$20)))</f>
        <v>1287.5</v>
      </c>
    </row>
    <row r="9" spans="2:8" ht="13.35" customHeight="1" x14ac:dyDescent="0.2">
      <c r="D9">
        <v>6</v>
      </c>
      <c r="E9" s="8">
        <f>Input!I15</f>
        <v>1327</v>
      </c>
      <c r="F9" s="8">
        <f>IF(D9&lt;Input!$E$18,E9,IF(D9=Input!$E$18,Input!$E$19,F8*(1+Input!$E$20)))</f>
        <v>1326.125</v>
      </c>
    </row>
    <row r="10" spans="2:8" ht="13.35" customHeight="1" x14ac:dyDescent="0.2">
      <c r="D10">
        <v>7</v>
      </c>
      <c r="E10" s="8">
        <f>Input!I16</f>
        <v>1366</v>
      </c>
      <c r="F10" s="8">
        <f>IF(D10&lt;Input!$E$18,E10,IF(D10=Input!$E$18,Input!$E$19,F9*(1+Input!$E$20)))</f>
        <v>1365.9087500000001</v>
      </c>
    </row>
    <row r="11" spans="2:8" ht="13.35" customHeight="1" x14ac:dyDescent="0.2">
      <c r="D11">
        <v>8</v>
      </c>
      <c r="E11" s="8">
        <f>Input!I17</f>
        <v>1409</v>
      </c>
      <c r="F11" s="8">
        <f>IF(D11&lt;Input!$E$18,E11,IF(D11=Input!$E$18,Input!$E$19,F10*(1+Input!$E$20)))</f>
        <v>1406.8860125000001</v>
      </c>
    </row>
    <row r="12" spans="2:8" ht="13.35" customHeight="1" x14ac:dyDescent="0.2">
      <c r="D12">
        <v>9</v>
      </c>
      <c r="E12" s="8">
        <f>Input!I18</f>
        <v>1449</v>
      </c>
      <c r="F12" s="8">
        <f>IF(D12&lt;Input!$E$18,E12,IF(D12=Input!$E$18,Input!$E$19,F11*(1+Input!$E$20)))</f>
        <v>1449.092592875</v>
      </c>
    </row>
    <row r="13" spans="2:8" ht="13.35" customHeight="1" x14ac:dyDescent="0.2">
      <c r="D13">
        <v>10</v>
      </c>
      <c r="E13" s="8">
        <f>Input!I19</f>
        <v>1493</v>
      </c>
      <c r="F13" s="8">
        <f>IF(D13&lt;Input!$E$18,E13,IF(D13=Input!$E$18,Input!$E$19,F12*(1+Input!$E$20)))</f>
        <v>1492.56537066125</v>
      </c>
    </row>
    <row r="14" spans="2:8" ht="13.35" customHeight="1" x14ac:dyDescent="0.2">
      <c r="D14">
        <v>11</v>
      </c>
      <c r="E14" s="8">
        <f>Input!I20</f>
        <v>1539</v>
      </c>
      <c r="F14" s="8">
        <f>IF(D14&lt;Input!$E$18,E14,IF(D14=Input!$E$18,Input!$E$19,F13*(1+Input!$E$20)))</f>
        <v>1537.3423317810875</v>
      </c>
    </row>
    <row r="15" spans="2:8" ht="13.35" customHeight="1" x14ac:dyDescent="0.2"/>
    <row r="16" spans="2:8" ht="13.35" customHeight="1" x14ac:dyDescent="0.2">
      <c r="B16" s="18"/>
      <c r="C16" s="18"/>
      <c r="D16" s="18"/>
      <c r="E16" s="18"/>
      <c r="F16" s="18"/>
      <c r="G16" s="18" t="s">
        <v>71</v>
      </c>
      <c r="H16" s="18"/>
    </row>
    <row r="17" spans="2:8" s="1" customFormat="1" ht="13.35" customHeight="1" x14ac:dyDescent="0.3">
      <c r="B17" s="3" t="s">
        <v>31</v>
      </c>
      <c r="C17" s="3"/>
      <c r="D17" s="2" t="s">
        <v>15</v>
      </c>
      <c r="E17" s="2" t="s">
        <v>0</v>
      </c>
      <c r="F17" s="3" t="s">
        <v>34</v>
      </c>
      <c r="G17" s="2" t="s">
        <v>70</v>
      </c>
      <c r="H17" s="2" t="s">
        <v>95</v>
      </c>
    </row>
    <row r="18" spans="2:8" s="1" customFormat="1" ht="13.35" customHeight="1" x14ac:dyDescent="0.2">
      <c r="B18" s="1" t="s">
        <v>32</v>
      </c>
      <c r="C18" s="5">
        <f>Input!E15*PMT(Input!$E$13/Input!E15,Input!$E$14*Input!E15,-1)</f>
        <v>7.3690499073776436E-2</v>
      </c>
      <c r="D18" s="1">
        <v>1</v>
      </c>
      <c r="E18" s="6">
        <f>1/(1+Input!$E$12)^D18</f>
        <v>0.84745762711864414</v>
      </c>
      <c r="F18" s="8">
        <f t="shared" ref="F18:F27" si="0">F4</f>
        <v>1174</v>
      </c>
      <c r="G18" s="14">
        <f>E18*F18</f>
        <v>994.9152542372882</v>
      </c>
      <c r="H18" s="58">
        <f>$C$18*Input!$E$25*E18</f>
        <v>4.3714702840375853E-2</v>
      </c>
    </row>
    <row r="19" spans="2:8" s="1" customFormat="1" ht="13.35" customHeight="1" x14ac:dyDescent="0.2">
      <c r="B19" s="1" t="s">
        <v>77</v>
      </c>
      <c r="C19" s="5">
        <f>1+FV(Input!E13/Input!E15,10*Input!E15,-C18/Input!E15,1)</f>
        <v>0.24843969265513244</v>
      </c>
      <c r="D19" s="1">
        <v>2</v>
      </c>
      <c r="E19" s="6">
        <f>1/(1+Input!$E$12)^D19</f>
        <v>0.71818442976156283</v>
      </c>
      <c r="F19" s="8">
        <f t="shared" si="0"/>
        <v>1210</v>
      </c>
      <c r="G19" s="14">
        <f t="shared" ref="G19:G27" si="1">E19*F19</f>
        <v>869.00316001149099</v>
      </c>
      <c r="H19" s="58">
        <f>$C$18*Input!$E$25*E19</f>
        <v>3.7046358339301567E-2</v>
      </c>
    </row>
    <row r="20" spans="2:8" s="1" customFormat="1" ht="13.35" customHeight="1" x14ac:dyDescent="0.2">
      <c r="B20" s="1" t="s">
        <v>76</v>
      </c>
      <c r="C20" s="8">
        <f>F14/Input!E16*(1-Input!E17)</f>
        <v>16569.134020307276</v>
      </c>
      <c r="D20" s="1">
        <v>3</v>
      </c>
      <c r="E20" s="6">
        <f>1/(1+Input!$E$12)^D20</f>
        <v>0.6086308726792905</v>
      </c>
      <c r="F20" s="8">
        <f t="shared" si="0"/>
        <v>1214</v>
      </c>
      <c r="G20" s="14">
        <f t="shared" si="1"/>
        <v>738.87787943265869</v>
      </c>
      <c r="H20" s="58">
        <f>$C$18*Input!$E$25*E20</f>
        <v>3.1395218931611499E-2</v>
      </c>
    </row>
    <row r="21" spans="2:8" s="1" customFormat="1" ht="13.35" customHeight="1" x14ac:dyDescent="0.2">
      <c r="B21" s="1" t="s">
        <v>8</v>
      </c>
      <c r="C21" s="8">
        <f>Calcs!C34*(1-Calcs!C19)</f>
        <v>7389.8821032662372</v>
      </c>
      <c r="D21" s="1">
        <v>4</v>
      </c>
      <c r="E21" s="6">
        <f>1/(1+Input!$E$12)^D21</f>
        <v>0.51578887515194116</v>
      </c>
      <c r="F21" s="8">
        <f t="shared" si="0"/>
        <v>1250</v>
      </c>
      <c r="G21" s="14">
        <f t="shared" si="1"/>
        <v>644.73609393992649</v>
      </c>
      <c r="H21" s="58">
        <f>$C$18*Input!$E$25*E21</f>
        <v>2.6606117738653814E-2</v>
      </c>
    </row>
    <row r="22" spans="2:8" s="1" customFormat="1" ht="13.35" customHeight="1" x14ac:dyDescent="0.2">
      <c r="B22" s="1" t="s">
        <v>13</v>
      </c>
      <c r="C22" s="9">
        <f>1-Calcs!C19</f>
        <v>0.75156030734486756</v>
      </c>
      <c r="D22" s="1">
        <v>5</v>
      </c>
      <c r="E22" s="6">
        <f>1/(1+Input!$E$12)^D22</f>
        <v>0.43710921623045873</v>
      </c>
      <c r="F22" s="8">
        <f t="shared" si="0"/>
        <v>1287.5</v>
      </c>
      <c r="G22" s="14">
        <f t="shared" si="1"/>
        <v>562.77811589671558</v>
      </c>
      <c r="H22" s="58">
        <f>$C$18*Input!$E$25*E22</f>
        <v>2.2547557405638831E-2</v>
      </c>
    </row>
    <row r="23" spans="2:8" s="1" customFormat="1" ht="13.35" customHeight="1" x14ac:dyDescent="0.2">
      <c r="B23" s="1" t="s">
        <v>14</v>
      </c>
      <c r="C23" s="10">
        <f>IF(Input!E15=12,Calcs!C18/12," Not Applicable")</f>
        <v>6.1408749228147033E-3</v>
      </c>
      <c r="D23" s="1">
        <v>6</v>
      </c>
      <c r="E23" s="6">
        <f>1/(1+Input!$E$12)^D23</f>
        <v>0.37043153917835481</v>
      </c>
      <c r="F23" s="8">
        <f t="shared" si="0"/>
        <v>1326.125</v>
      </c>
      <c r="G23" s="14">
        <f t="shared" si="1"/>
        <v>491.23852489289578</v>
      </c>
      <c r="H23" s="58">
        <f>$C$18*Input!$E$25*E23</f>
        <v>1.9108099496304091E-2</v>
      </c>
    </row>
    <row r="24" spans="2:8" s="1" customFormat="1" ht="13.35" customHeight="1" x14ac:dyDescent="0.2">
      <c r="D24" s="1">
        <v>7</v>
      </c>
      <c r="E24" s="6">
        <f>1/(1+Input!$E$12)^D24</f>
        <v>0.31392503320199561</v>
      </c>
      <c r="F24" s="8">
        <f t="shared" si="0"/>
        <v>1365.9087500000001</v>
      </c>
      <c r="G24" s="14">
        <f t="shared" si="1"/>
        <v>428.79294969464632</v>
      </c>
      <c r="H24" s="58">
        <f>$C$18*Input!$E$25*E24</f>
        <v>1.6193304657884825E-2</v>
      </c>
    </row>
    <row r="25" spans="2:8" s="1" customFormat="1" ht="13.35" customHeight="1" x14ac:dyDescent="0.2">
      <c r="D25" s="1">
        <v>8</v>
      </c>
      <c r="E25" s="6">
        <f>1/(1+Input!$E$12)^D25</f>
        <v>0.26603816373050476</v>
      </c>
      <c r="F25" s="8">
        <f t="shared" si="0"/>
        <v>1406.8860125000001</v>
      </c>
      <c r="G25" s="14">
        <f t="shared" si="1"/>
        <v>374.28537134363199</v>
      </c>
      <c r="H25" s="58">
        <f>$C$18*Input!$E$25*E25</f>
        <v>1.3723139540580361E-2</v>
      </c>
    </row>
    <row r="26" spans="2:8" s="1" customFormat="1" ht="13.35" customHeight="1" x14ac:dyDescent="0.2">
      <c r="D26" s="1">
        <v>9</v>
      </c>
      <c r="E26" s="6">
        <f>1/(1+Input!$E$12)^D26</f>
        <v>0.22545607095805489</v>
      </c>
      <c r="F26" s="8">
        <f t="shared" si="0"/>
        <v>1449.092592875</v>
      </c>
      <c r="G26" s="14">
        <f t="shared" si="1"/>
        <v>326.70672244401777</v>
      </c>
      <c r="H26" s="58">
        <f>$C$18*Input!$E$25*E26</f>
        <v>1.1629779271678272E-2</v>
      </c>
    </row>
    <row r="27" spans="2:8" s="1" customFormat="1" ht="13.35" customHeight="1" x14ac:dyDescent="0.2">
      <c r="D27" s="1">
        <v>10</v>
      </c>
      <c r="E27" s="6">
        <f>1/(1+Input!$E$12)^D27</f>
        <v>0.19106446691360587</v>
      </c>
      <c r="F27" s="8">
        <f t="shared" si="0"/>
        <v>1492.56537066125</v>
      </c>
      <c r="G27" s="14">
        <f t="shared" si="1"/>
        <v>285.17620687910028</v>
      </c>
      <c r="H27" s="58">
        <f>$C$18*Input!$E$25*E27</f>
        <v>9.8557451454900618E-3</v>
      </c>
    </row>
    <row r="28" spans="2:8" s="1" customFormat="1" ht="13.35" customHeight="1" x14ac:dyDescent="0.2">
      <c r="F28" s="7"/>
    </row>
    <row r="29" spans="2:8" s="1" customFormat="1" ht="13.35" customHeight="1" x14ac:dyDescent="0.2">
      <c r="B29" s="11" t="s">
        <v>120</v>
      </c>
      <c r="C29" s="11"/>
      <c r="D29" s="11"/>
      <c r="E29"/>
    </row>
    <row r="30" spans="2:8" s="1" customFormat="1" ht="13.35" customHeight="1" x14ac:dyDescent="0.2">
      <c r="B30" s="1" t="s">
        <v>90</v>
      </c>
      <c r="C30" s="14">
        <f>SUM(G18:G27)+C20*E27</f>
        <v>8882.2830375824724</v>
      </c>
    </row>
    <row r="31" spans="2:8" s="1" customFormat="1" ht="13.35" customHeight="1" x14ac:dyDescent="0.2">
      <c r="B31" s="1" t="s">
        <v>91</v>
      </c>
      <c r="C31" s="59">
        <f>SUM(H18:H27)+C22*Input!E25*E27</f>
        <v>0.3323375520009102</v>
      </c>
      <c r="D31" s="1" t="s">
        <v>92</v>
      </c>
    </row>
    <row r="32" spans="2:8" s="1" customFormat="1" ht="13.35" customHeight="1" x14ac:dyDescent="0.2">
      <c r="B32" s="11" t="s">
        <v>93</v>
      </c>
      <c r="C32" s="11">
        <f>1-Input!E25</f>
        <v>0.30000000000000004</v>
      </c>
      <c r="D32" s="1" t="s">
        <v>92</v>
      </c>
    </row>
    <row r="33" spans="2:6" s="1" customFormat="1" ht="13.35" customHeight="1" x14ac:dyDescent="0.2">
      <c r="B33" s="1" t="s">
        <v>94</v>
      </c>
      <c r="C33" s="7">
        <f>C30/(C31+C32)</f>
        <v>14046.742929430968</v>
      </c>
    </row>
    <row r="34" spans="2:6" s="1" customFormat="1" ht="13.35" customHeight="1" x14ac:dyDescent="0.2">
      <c r="B34" s="1" t="s">
        <v>96</v>
      </c>
      <c r="C34" s="12">
        <f>C33*Input!E25</f>
        <v>9832.7200506016761</v>
      </c>
    </row>
    <row r="35" spans="2:6" s="1" customFormat="1" ht="13.35" customHeight="1" x14ac:dyDescent="0.2"/>
    <row r="36" spans="2:6" s="1" customFormat="1" ht="13.35" customHeight="1" x14ac:dyDescent="0.2"/>
    <row r="37" spans="2:6" s="1" customFormat="1" ht="13.35" customHeight="1" x14ac:dyDescent="0.2">
      <c r="B37" s="3" t="s">
        <v>29</v>
      </c>
      <c r="C37" s="3"/>
      <c r="D37" s="3" t="s">
        <v>15</v>
      </c>
      <c r="E37" s="3" t="s">
        <v>34</v>
      </c>
      <c r="F37"/>
    </row>
    <row r="38" spans="2:6" s="1" customFormat="1" ht="13.35" customHeight="1" x14ac:dyDescent="0.2">
      <c r="B38" s="1" t="s">
        <v>32</v>
      </c>
      <c r="C38" s="5">
        <f>C18</f>
        <v>7.3690499073776436E-2</v>
      </c>
      <c r="D38" s="1">
        <v>1</v>
      </c>
      <c r="E38" s="8">
        <f t="shared" ref="E38:E48" si="2">F4</f>
        <v>1174</v>
      </c>
    </row>
    <row r="39" spans="2:6" s="1" customFormat="1" ht="13.35" customHeight="1" x14ac:dyDescent="0.2">
      <c r="B39" s="1" t="s">
        <v>33</v>
      </c>
      <c r="C39" s="5">
        <f>C19</f>
        <v>0.24843969265513244</v>
      </c>
      <c r="D39" s="1">
        <v>2</v>
      </c>
      <c r="E39" s="8">
        <f t="shared" si="2"/>
        <v>1210</v>
      </c>
    </row>
    <row r="40" spans="2:6" s="1" customFormat="1" ht="13.35" customHeight="1" x14ac:dyDescent="0.2">
      <c r="B40" s="1" t="s">
        <v>76</v>
      </c>
      <c r="C40" s="8">
        <f>C20</f>
        <v>16569.134020307276</v>
      </c>
      <c r="D40" s="1">
        <v>3</v>
      </c>
      <c r="E40" s="8">
        <f t="shared" si="2"/>
        <v>1214</v>
      </c>
    </row>
    <row r="41" spans="2:6" s="1" customFormat="1" ht="13.35" customHeight="1" x14ac:dyDescent="0.2">
      <c r="B41" s="1" t="s">
        <v>8</v>
      </c>
      <c r="C41" s="14" t="e">
        <f>C46*C42</f>
        <v>#N/A</v>
      </c>
      <c r="D41" s="1">
        <v>4</v>
      </c>
      <c r="E41" s="8">
        <f t="shared" si="2"/>
        <v>1250</v>
      </c>
    </row>
    <row r="42" spans="2:6" s="1" customFormat="1" ht="13.35" customHeight="1" x14ac:dyDescent="0.2">
      <c r="B42" s="1" t="s">
        <v>30</v>
      </c>
      <c r="C42" s="9">
        <f>1-Calcs!C39</f>
        <v>0.75156030734486756</v>
      </c>
      <c r="D42" s="1">
        <v>5</v>
      </c>
      <c r="E42" s="8">
        <f t="shared" si="2"/>
        <v>1287.5</v>
      </c>
    </row>
    <row r="43" spans="2:6" s="1" customFormat="1" ht="13.35" customHeight="1" x14ac:dyDescent="0.2">
      <c r="B43" s="1" t="s">
        <v>128</v>
      </c>
      <c r="C43" s="8" t="e">
        <f>VLOOKUP(Input!E29,D38:E48,2)</f>
        <v>#N/A</v>
      </c>
      <c r="D43" s="1">
        <v>6</v>
      </c>
      <c r="E43" s="8">
        <f t="shared" si="2"/>
        <v>1326.125</v>
      </c>
    </row>
    <row r="44" spans="2:6" ht="13.35" customHeight="1" x14ac:dyDescent="0.2">
      <c r="B44" s="1"/>
      <c r="C44" s="1"/>
      <c r="D44" s="1">
        <v>7</v>
      </c>
      <c r="E44" s="8">
        <f t="shared" si="2"/>
        <v>1365.9087500000001</v>
      </c>
      <c r="F44" s="1"/>
    </row>
    <row r="45" spans="2:6" ht="13.35" customHeight="1" x14ac:dyDescent="0.2">
      <c r="B45" s="11" t="s">
        <v>35</v>
      </c>
      <c r="C45" s="15" t="e">
        <f>C50</f>
        <v>#N/A</v>
      </c>
      <c r="D45" s="1">
        <v>8</v>
      </c>
      <c r="E45" s="8">
        <f t="shared" si="2"/>
        <v>1406.8860125000001</v>
      </c>
      <c r="F45" s="1"/>
    </row>
    <row r="46" spans="2:6" ht="13.35" customHeight="1" x14ac:dyDescent="0.2">
      <c r="B46" s="1" t="s">
        <v>7</v>
      </c>
      <c r="C46" s="7" t="e">
        <f>C43/(Input!E28*C38)</f>
        <v>#N/A</v>
      </c>
      <c r="D46" s="1">
        <v>9</v>
      </c>
      <c r="E46" s="8">
        <f t="shared" si="2"/>
        <v>1449.092592875</v>
      </c>
      <c r="F46" s="1"/>
    </row>
    <row r="47" spans="2:6" ht="13.35" customHeight="1" x14ac:dyDescent="0.2">
      <c r="B47" s="1" t="s">
        <v>9</v>
      </c>
      <c r="C47" s="13">
        <f>SUM(G18:G27)</f>
        <v>5716.5102787723717</v>
      </c>
      <c r="D47" s="1">
        <v>10</v>
      </c>
      <c r="E47" s="8">
        <f t="shared" si="2"/>
        <v>1492.56537066125</v>
      </c>
      <c r="F47" s="1"/>
    </row>
    <row r="48" spans="2:6" ht="13.35" customHeight="1" x14ac:dyDescent="0.2">
      <c r="B48" s="1" t="s">
        <v>10</v>
      </c>
      <c r="C48" s="68" t="e">
        <f>-PV(Input!E12,10,C43/Input!E28)</f>
        <v>#N/A</v>
      </c>
      <c r="D48" s="1">
        <v>11</v>
      </c>
      <c r="E48" s="8">
        <f t="shared" si="2"/>
        <v>1537.3423317810875</v>
      </c>
      <c r="F48" s="1"/>
    </row>
    <row r="49" spans="2:6" ht="13.35" customHeight="1" x14ac:dyDescent="0.2">
      <c r="B49" s="11" t="s">
        <v>11</v>
      </c>
      <c r="C49" s="15" t="e">
        <f>(C40-C41)*E27</f>
        <v>#N/A</v>
      </c>
      <c r="D49" s="1"/>
      <c r="E49" s="1"/>
      <c r="F49" s="1"/>
    </row>
    <row r="50" spans="2:6" ht="13.35" customHeight="1" x14ac:dyDescent="0.2">
      <c r="B50" s="1" t="s">
        <v>12</v>
      </c>
      <c r="C50" s="7" t="e">
        <f>C46+C47-C48+C49</f>
        <v>#N/A</v>
      </c>
      <c r="D50" s="1"/>
      <c r="E50" s="1"/>
      <c r="F50" s="1"/>
    </row>
    <row r="51" spans="2:6" ht="13.35" customHeight="1" x14ac:dyDescent="0.2"/>
    <row r="52" spans="2:6" ht="13.35" customHeight="1" x14ac:dyDescent="0.2"/>
    <row r="53" spans="2:6" ht="13.35" customHeight="1" x14ac:dyDescent="0.2">
      <c r="B53" s="3" t="s">
        <v>121</v>
      </c>
      <c r="C53" s="3"/>
      <c r="D53" s="3" t="s">
        <v>15</v>
      </c>
      <c r="E53" s="3" t="s">
        <v>34</v>
      </c>
    </row>
    <row r="54" spans="2:6" ht="13.35" customHeight="1" x14ac:dyDescent="0.2">
      <c r="B54" s="1" t="s">
        <v>32</v>
      </c>
      <c r="C54" s="5">
        <f>C18</f>
        <v>7.3690499073776436E-2</v>
      </c>
      <c r="D54" s="1">
        <v>1</v>
      </c>
      <c r="E54" s="8">
        <f>F4</f>
        <v>1174</v>
      </c>
    </row>
    <row r="55" spans="2:6" ht="13.35" customHeight="1" x14ac:dyDescent="0.2">
      <c r="B55" s="1" t="s">
        <v>33</v>
      </c>
      <c r="C55" s="5">
        <f>C19</f>
        <v>0.24843969265513244</v>
      </c>
      <c r="D55" s="1">
        <v>2</v>
      </c>
      <c r="E55" s="8">
        <f t="shared" ref="E55:E64" si="3">F5</f>
        <v>1210</v>
      </c>
    </row>
    <row r="56" spans="2:6" ht="13.35" customHeight="1" x14ac:dyDescent="0.2">
      <c r="B56" s="1" t="s">
        <v>76</v>
      </c>
      <c r="C56" s="8">
        <f>C20</f>
        <v>16569.134020307276</v>
      </c>
      <c r="D56" s="1">
        <v>3</v>
      </c>
      <c r="E56" s="8">
        <f t="shared" si="3"/>
        <v>1214</v>
      </c>
    </row>
    <row r="57" spans="2:6" ht="13.35" customHeight="1" x14ac:dyDescent="0.2">
      <c r="B57" s="1" t="s">
        <v>8</v>
      </c>
      <c r="C57" s="14" t="e">
        <f>C62*C58</f>
        <v>#N/A</v>
      </c>
      <c r="D57" s="1">
        <v>4</v>
      </c>
      <c r="E57" s="8">
        <f t="shared" si="3"/>
        <v>1250</v>
      </c>
    </row>
    <row r="58" spans="2:6" ht="13.35" customHeight="1" x14ac:dyDescent="0.2">
      <c r="B58" s="1" t="s">
        <v>30</v>
      </c>
      <c r="C58" s="9">
        <f>1-Calcs!C55</f>
        <v>0.75156030734486756</v>
      </c>
      <c r="D58" s="1">
        <v>5</v>
      </c>
      <c r="E58" s="8">
        <f t="shared" si="3"/>
        <v>1287.5</v>
      </c>
    </row>
    <row r="59" spans="2:6" ht="13.35" customHeight="1" x14ac:dyDescent="0.2">
      <c r="B59" s="1" t="s">
        <v>128</v>
      </c>
      <c r="C59" s="8" t="e">
        <f>VLOOKUP(Input!E33,D54:E64,2)</f>
        <v>#N/A</v>
      </c>
      <c r="D59" s="1">
        <v>6</v>
      </c>
      <c r="E59" s="8">
        <f t="shared" si="3"/>
        <v>1326.125</v>
      </c>
    </row>
    <row r="60" spans="2:6" ht="13.35" customHeight="1" x14ac:dyDescent="0.2">
      <c r="B60" s="1"/>
      <c r="C60" s="1"/>
      <c r="D60" s="1">
        <v>7</v>
      </c>
      <c r="E60" s="8">
        <f t="shared" si="3"/>
        <v>1365.9087500000001</v>
      </c>
    </row>
    <row r="61" spans="2:6" ht="13.35" customHeight="1" x14ac:dyDescent="0.2">
      <c r="B61" s="11" t="s">
        <v>122</v>
      </c>
      <c r="C61" s="15" t="e">
        <f>C66</f>
        <v>#N/A</v>
      </c>
      <c r="D61" s="1">
        <v>8</v>
      </c>
      <c r="E61" s="8">
        <f t="shared" si="3"/>
        <v>1406.8860125000001</v>
      </c>
    </row>
    <row r="62" spans="2:6" ht="13.35" customHeight="1" x14ac:dyDescent="0.2">
      <c r="B62" s="1" t="s">
        <v>7</v>
      </c>
      <c r="C62" s="7" t="e">
        <f>C59/Input!E32</f>
        <v>#N/A</v>
      </c>
      <c r="D62" s="1">
        <v>9</v>
      </c>
      <c r="E62" s="8">
        <f t="shared" si="3"/>
        <v>1449.092592875</v>
      </c>
    </row>
    <row r="63" spans="2:6" ht="13.35" customHeight="1" x14ac:dyDescent="0.2">
      <c r="B63" s="1" t="s">
        <v>9</v>
      </c>
      <c r="C63" s="13">
        <f>SUM(G18:G27)</f>
        <v>5716.5102787723717</v>
      </c>
      <c r="D63" s="1">
        <v>10</v>
      </c>
      <c r="E63" s="8">
        <f t="shared" si="3"/>
        <v>1492.56537066125</v>
      </c>
    </row>
    <row r="64" spans="2:6" x14ac:dyDescent="0.2">
      <c r="B64" s="1" t="s">
        <v>10</v>
      </c>
      <c r="C64" s="68" t="e">
        <f>-PV(Input!E12,10,C62*C54)</f>
        <v>#N/A</v>
      </c>
      <c r="D64" s="1">
        <v>11</v>
      </c>
      <c r="E64" s="8">
        <f t="shared" si="3"/>
        <v>1537.3423317810875</v>
      </c>
    </row>
    <row r="65" spans="2:5" x14ac:dyDescent="0.2">
      <c r="B65" s="11" t="s">
        <v>11</v>
      </c>
      <c r="C65" s="15" t="e">
        <f>(C56-C57)*E27</f>
        <v>#N/A</v>
      </c>
      <c r="D65" s="1"/>
      <c r="E65" s="1"/>
    </row>
    <row r="66" spans="2:5" x14ac:dyDescent="0.2">
      <c r="B66" s="1" t="s">
        <v>12</v>
      </c>
      <c r="C66" s="7" t="e">
        <f>C62+C63-C64+C65</f>
        <v>#N/A</v>
      </c>
      <c r="D66" s="1"/>
      <c r="E66" s="1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74"/>
  <sheetViews>
    <sheetView showGridLines="0" workbookViewId="0"/>
  </sheetViews>
  <sheetFormatPr defaultColWidth="8.85546875" defaultRowHeight="12" x14ac:dyDescent="0.2"/>
  <cols>
    <col min="1" max="1" width="3.7109375" style="1" customWidth="1"/>
    <col min="2" max="2" width="27.7109375" style="1" customWidth="1"/>
    <col min="3" max="3" width="5.7109375" style="1" customWidth="1"/>
    <col min="4" max="14" width="10.7109375" style="1" customWidth="1"/>
    <col min="15" max="16384" width="8.85546875" style="1"/>
  </cols>
  <sheetData>
    <row r="1" spans="2:14" customFormat="1" ht="15.75" x14ac:dyDescent="0.25">
      <c r="B1" s="16" t="s">
        <v>135</v>
      </c>
    </row>
    <row r="2" spans="2:14" customFormat="1" ht="12.75" customHeight="1" x14ac:dyDescent="0.2"/>
    <row r="3" spans="2:14" customFormat="1" ht="12.75" customHeight="1" x14ac:dyDescent="0.2">
      <c r="B3" s="78" t="s">
        <v>42</v>
      </c>
      <c r="C3" s="4"/>
      <c r="D3" s="79" t="s">
        <v>140</v>
      </c>
      <c r="E3" s="78"/>
      <c r="F3" s="79" t="s">
        <v>142</v>
      </c>
      <c r="G3" s="1"/>
      <c r="H3" s="129" t="s">
        <v>134</v>
      </c>
      <c r="I3" s="129"/>
      <c r="J3" s="129"/>
      <c r="K3" s="129"/>
      <c r="M3" s="1"/>
      <c r="N3" s="1"/>
    </row>
    <row r="4" spans="2:14" customFormat="1" ht="12.75" customHeight="1" x14ac:dyDescent="0.2">
      <c r="B4" s="81" t="str">
        <f>Input!D4</f>
        <v>Sample Inn</v>
      </c>
      <c r="C4" s="3"/>
      <c r="D4" s="80" t="s">
        <v>47</v>
      </c>
      <c r="E4" s="101" t="s">
        <v>48</v>
      </c>
      <c r="F4" s="101" t="s">
        <v>141</v>
      </c>
      <c r="G4" s="1"/>
      <c r="H4" s="119" t="s">
        <v>129</v>
      </c>
      <c r="I4" s="119"/>
      <c r="J4" s="119"/>
      <c r="K4" s="70">
        <f>(F37/D5)-1</f>
        <v>0.21605282805060066</v>
      </c>
      <c r="M4" s="1"/>
      <c r="N4" s="1"/>
    </row>
    <row r="5" spans="2:14" ht="12.75" customHeight="1" x14ac:dyDescent="0.2">
      <c r="B5" s="120" t="s">
        <v>6</v>
      </c>
      <c r="D5" s="14">
        <f>Calcs!C33</f>
        <v>14046.742929430968</v>
      </c>
      <c r="E5" s="20">
        <f>IRR(D11:N11,0.1)</f>
        <v>0.10291727971850451</v>
      </c>
      <c r="F5" s="14">
        <f>D5/Input!$E$11*1000</f>
        <v>112373.94343544774</v>
      </c>
      <c r="H5" s="119" t="s">
        <v>130</v>
      </c>
      <c r="I5" s="119"/>
      <c r="J5" s="119"/>
      <c r="K5" s="20">
        <f>RATE(10,,D5,-F37)</f>
        <v>1.9753593051152884E-2</v>
      </c>
    </row>
    <row r="6" spans="2:14" ht="12.75" customHeight="1" x14ac:dyDescent="0.2">
      <c r="B6" s="120" t="s">
        <v>43</v>
      </c>
      <c r="D6" s="14">
        <f>Calcs!C34</f>
        <v>9832.7200506016761</v>
      </c>
      <c r="E6" s="20">
        <f>Input!E15*RATE(10*Input!E15,E12/Input!E15,D12,Calcs!C21)</f>
        <v>5.5000000000239788E-2</v>
      </c>
      <c r="F6" s="14">
        <f>D6/Input!$E$11*1000</f>
        <v>78661.760404813409</v>
      </c>
      <c r="H6" s="119" t="s">
        <v>131</v>
      </c>
      <c r="I6" s="119"/>
      <c r="J6" s="119"/>
      <c r="K6" s="72">
        <f>1-K7</f>
        <v>0.557111129972645</v>
      </c>
    </row>
    <row r="7" spans="2:14" ht="12.75" customHeight="1" x14ac:dyDescent="0.2">
      <c r="B7" s="121" t="s">
        <v>49</v>
      </c>
      <c r="C7" s="11"/>
      <c r="D7" s="21">
        <f>D5-D6</f>
        <v>4214.0228788292916</v>
      </c>
      <c r="E7" s="22">
        <f>IRR(D13:N13,0.1)</f>
        <v>0.1799999999999311</v>
      </c>
      <c r="F7" s="21">
        <f>D7/Input!$E$11*1000</f>
        <v>33712.183030634333</v>
      </c>
      <c r="H7" s="119" t="s">
        <v>132</v>
      </c>
      <c r="I7" s="119"/>
      <c r="J7" s="119"/>
      <c r="K7" s="20">
        <f>((F39/(1+E5)^10)/D5)</f>
        <v>0.442888870027355</v>
      </c>
    </row>
    <row r="8" spans="2:14" ht="12.75" customHeight="1" x14ac:dyDescent="0.2">
      <c r="B8" s="119"/>
      <c r="C8" s="19"/>
      <c r="D8" s="51"/>
      <c r="E8" s="19"/>
      <c r="F8" s="71"/>
      <c r="H8" s="121" t="s">
        <v>133</v>
      </c>
      <c r="I8" s="121"/>
      <c r="J8" s="121"/>
      <c r="K8" s="73">
        <f>Input!E19*(1/(1+Input!E20)^(Input!E18-1))/D5</f>
        <v>8.1437175859086497E-2</v>
      </c>
    </row>
    <row r="9" spans="2:14" ht="12.75" customHeight="1" x14ac:dyDescent="0.2"/>
    <row r="10" spans="2:14" ht="12.75" customHeight="1" x14ac:dyDescent="0.2">
      <c r="B10" s="3" t="s">
        <v>69</v>
      </c>
      <c r="C10" s="3" t="s">
        <v>15</v>
      </c>
      <c r="D10" s="102">
        <f>Input!E10-1</f>
        <v>2015</v>
      </c>
      <c r="E10" s="102">
        <f>D10+1</f>
        <v>2016</v>
      </c>
      <c r="F10" s="102">
        <f t="shared" ref="F10:N10" si="0">E10+1</f>
        <v>2017</v>
      </c>
      <c r="G10" s="102">
        <f t="shared" si="0"/>
        <v>2018</v>
      </c>
      <c r="H10" s="102">
        <f t="shared" si="0"/>
        <v>2019</v>
      </c>
      <c r="I10" s="102">
        <f t="shared" si="0"/>
        <v>2020</v>
      </c>
      <c r="J10" s="102">
        <f t="shared" si="0"/>
        <v>2021</v>
      </c>
      <c r="K10" s="102">
        <f t="shared" si="0"/>
        <v>2022</v>
      </c>
      <c r="L10" s="102">
        <f t="shared" si="0"/>
        <v>2023</v>
      </c>
      <c r="M10" s="102">
        <f t="shared" si="0"/>
        <v>2024</v>
      </c>
      <c r="N10" s="102">
        <f t="shared" si="0"/>
        <v>2025</v>
      </c>
    </row>
    <row r="11" spans="2:14" ht="12.75" customHeight="1" x14ac:dyDescent="0.2">
      <c r="B11" s="120" t="s">
        <v>46</v>
      </c>
      <c r="D11" s="14">
        <f>-D5</f>
        <v>-14046.742929430968</v>
      </c>
      <c r="E11" s="8">
        <f>Calcs!F4</f>
        <v>1174</v>
      </c>
      <c r="F11" s="8">
        <f>Calcs!F5</f>
        <v>1210</v>
      </c>
      <c r="G11" s="8">
        <f>Calcs!F6</f>
        <v>1214</v>
      </c>
      <c r="H11" s="8">
        <f>Calcs!F7</f>
        <v>1250</v>
      </c>
      <c r="I11" s="8">
        <f>Calcs!F8</f>
        <v>1287.5</v>
      </c>
      <c r="J11" s="8">
        <f>Calcs!F9</f>
        <v>1326.125</v>
      </c>
      <c r="K11" s="8">
        <f>Calcs!F10</f>
        <v>1365.9087500000001</v>
      </c>
      <c r="L11" s="8">
        <f>Calcs!F11</f>
        <v>1406.8860125000001</v>
      </c>
      <c r="M11" s="8">
        <f>Calcs!F12</f>
        <v>1449.092592875</v>
      </c>
      <c r="N11" s="8">
        <f>Calcs!F13+(Calcs!F14/Input!E16)*(1-Input!E17)</f>
        <v>18061.699390968526</v>
      </c>
    </row>
    <row r="12" spans="2:14" ht="12.75" customHeight="1" x14ac:dyDescent="0.2">
      <c r="B12" s="120" t="s">
        <v>44</v>
      </c>
      <c r="D12" s="14">
        <f>-D6</f>
        <v>-9832.7200506016761</v>
      </c>
      <c r="E12" s="8">
        <f>$D$6*Calcs!$C$18</f>
        <v>724.57804778156583</v>
      </c>
      <c r="F12" s="8">
        <f>$D$6*Calcs!$C$18</f>
        <v>724.57804778156583</v>
      </c>
      <c r="G12" s="8">
        <f>$D$6*Calcs!$C$18</f>
        <v>724.57804778156583</v>
      </c>
      <c r="H12" s="8">
        <f>$D$6*Calcs!$C$18</f>
        <v>724.57804778156583</v>
      </c>
      <c r="I12" s="8">
        <f>$D$6*Calcs!$C$18</f>
        <v>724.57804778156583</v>
      </c>
      <c r="J12" s="8">
        <f>$D$6*Calcs!$C$18</f>
        <v>724.57804778156583</v>
      </c>
      <c r="K12" s="8">
        <f>$D$6*Calcs!$C$18</f>
        <v>724.57804778156583</v>
      </c>
      <c r="L12" s="8">
        <f>$D$6*Calcs!$C$18</f>
        <v>724.57804778156583</v>
      </c>
      <c r="M12" s="8">
        <f>$D$6*Calcs!$C$18</f>
        <v>724.57804778156583</v>
      </c>
      <c r="N12" s="8">
        <f>$D$6*Calcs!$C$18+Calcs!C21</f>
        <v>8114.4601510478033</v>
      </c>
    </row>
    <row r="13" spans="2:14" ht="12.75" customHeight="1" x14ac:dyDescent="0.2">
      <c r="B13" s="120" t="s">
        <v>45</v>
      </c>
      <c r="D13" s="14">
        <f>-D7</f>
        <v>-4214.0228788292916</v>
      </c>
      <c r="E13" s="8">
        <f>E11-E12</f>
        <v>449.42195221843417</v>
      </c>
      <c r="F13" s="8">
        <f t="shared" ref="F13:N13" si="1">F11-F12</f>
        <v>485.42195221843417</v>
      </c>
      <c r="G13" s="8">
        <f t="shared" si="1"/>
        <v>489.42195221843417</v>
      </c>
      <c r="H13" s="8">
        <f t="shared" si="1"/>
        <v>525.42195221843417</v>
      </c>
      <c r="I13" s="8">
        <f t="shared" si="1"/>
        <v>562.92195221843417</v>
      </c>
      <c r="J13" s="8">
        <f t="shared" si="1"/>
        <v>601.54695221843417</v>
      </c>
      <c r="K13" s="8">
        <f t="shared" si="1"/>
        <v>641.33070221843423</v>
      </c>
      <c r="L13" s="8">
        <f t="shared" si="1"/>
        <v>682.30796471843428</v>
      </c>
      <c r="M13" s="8">
        <f t="shared" si="1"/>
        <v>724.51454509343421</v>
      </c>
      <c r="N13" s="8">
        <f t="shared" si="1"/>
        <v>9947.2392399207238</v>
      </c>
    </row>
    <row r="14" spans="2:14" ht="12.75" customHeight="1" x14ac:dyDescent="0.2">
      <c r="B14" s="122" t="s">
        <v>28</v>
      </c>
      <c r="C14" s="37"/>
      <c r="D14" s="97"/>
      <c r="E14" s="98">
        <f>E11/E12</f>
        <v>1.6202533372276808</v>
      </c>
      <c r="F14" s="98">
        <f>F11/F12</f>
        <v>1.6699374259331292</v>
      </c>
      <c r="G14" s="98">
        <f>G11/G12</f>
        <v>1.6754578802337348</v>
      </c>
      <c r="H14" s="98">
        <f t="shared" ref="H14:M14" si="2">H11/H12</f>
        <v>1.7251419689391831</v>
      </c>
      <c r="I14" s="98">
        <f t="shared" si="2"/>
        <v>1.7768962280073586</v>
      </c>
      <c r="J14" s="98">
        <f t="shared" si="2"/>
        <v>1.8302031148475795</v>
      </c>
      <c r="K14" s="98">
        <f t="shared" si="2"/>
        <v>1.8851092082930068</v>
      </c>
      <c r="L14" s="98">
        <f t="shared" si="2"/>
        <v>1.9416624845417971</v>
      </c>
      <c r="M14" s="98">
        <f t="shared" si="2"/>
        <v>1.999912359078051</v>
      </c>
      <c r="N14" s="98">
        <f>Calcs!F13/'Output-LTV'!J33</f>
        <v>2.0599097298503923</v>
      </c>
    </row>
    <row r="15" spans="2:14" ht="12.75" customHeight="1" x14ac:dyDescent="0.2">
      <c r="B15" s="123" t="s">
        <v>118</v>
      </c>
      <c r="C15" s="19"/>
      <c r="D15" s="51"/>
      <c r="E15" s="99">
        <f>E11/$D$6</f>
        <v>0.11939727704625959</v>
      </c>
      <c r="F15" s="99">
        <f t="shared" ref="F15:M15" si="3">F11/$D$6</f>
        <v>0.12305852233898987</v>
      </c>
      <c r="G15" s="99">
        <f t="shared" si="3"/>
        <v>0.12346532737151546</v>
      </c>
      <c r="H15" s="99">
        <f t="shared" si="3"/>
        <v>0.12712657266424573</v>
      </c>
      <c r="I15" s="99">
        <f t="shared" si="3"/>
        <v>0.13094036984417312</v>
      </c>
      <c r="J15" s="99">
        <f t="shared" si="3"/>
        <v>0.1348685809394983</v>
      </c>
      <c r="K15" s="99">
        <f t="shared" si="3"/>
        <v>0.13891463836768325</v>
      </c>
      <c r="L15" s="99">
        <f t="shared" si="3"/>
        <v>0.14308207751871377</v>
      </c>
      <c r="M15" s="99">
        <f t="shared" si="3"/>
        <v>0.14737453984427518</v>
      </c>
      <c r="N15" s="99">
        <f>(N11-F39)/$D$6</f>
        <v>0.15179577603960343</v>
      </c>
    </row>
    <row r="16" spans="2:14" ht="12.75" customHeight="1" x14ac:dyDescent="0.2">
      <c r="B16" s="124" t="s">
        <v>152</v>
      </c>
      <c r="C16" s="11"/>
      <c r="D16" s="21"/>
      <c r="E16" s="73">
        <f>E13/$D$7</f>
        <v>0.10664914860246065</v>
      </c>
      <c r="F16" s="73">
        <f t="shared" ref="F16:M16" si="4">F13/$D$7</f>
        <v>0.11519205428549796</v>
      </c>
      <c r="G16" s="73">
        <f t="shared" si="4"/>
        <v>0.11614126602805766</v>
      </c>
      <c r="H16" s="73">
        <f t="shared" si="4"/>
        <v>0.12468417171109497</v>
      </c>
      <c r="I16" s="73">
        <f t="shared" si="4"/>
        <v>0.13358303179759218</v>
      </c>
      <c r="J16" s="73">
        <f t="shared" si="4"/>
        <v>0.1427488576866843</v>
      </c>
      <c r="K16" s="73">
        <f t="shared" si="4"/>
        <v>0.15218965835244919</v>
      </c>
      <c r="L16" s="73">
        <f t="shared" si="4"/>
        <v>0.16191368303818701</v>
      </c>
      <c r="M16" s="73">
        <f t="shared" si="4"/>
        <v>0.17192942846449696</v>
      </c>
      <c r="N16" s="73">
        <f>(N13-N38)/$D$7</f>
        <v>0.18224564625359663</v>
      </c>
    </row>
    <row r="17" spans="2:14" ht="12.75" customHeight="1" x14ac:dyDescent="0.2">
      <c r="D17" s="14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4" ht="12.75" customHeight="1" x14ac:dyDescent="0.2">
      <c r="B18" s="4" t="s">
        <v>54</v>
      </c>
      <c r="C18" s="28"/>
      <c r="D18" s="130" t="s">
        <v>55</v>
      </c>
      <c r="E18" s="130"/>
      <c r="F18" s="130"/>
      <c r="G18" s="28"/>
      <c r="H18" s="130" t="s">
        <v>56</v>
      </c>
      <c r="I18" s="130"/>
      <c r="J18" s="130"/>
      <c r="K18" s="125"/>
      <c r="L18" s="130" t="s">
        <v>57</v>
      </c>
      <c r="M18" s="130"/>
      <c r="N18" s="130"/>
    </row>
    <row r="19" spans="2:14" ht="12.75" customHeight="1" x14ac:dyDescent="0.2">
      <c r="C19" s="28"/>
      <c r="D19" s="4" t="s">
        <v>34</v>
      </c>
      <c r="E19" s="4" t="s">
        <v>50</v>
      </c>
      <c r="F19" s="4" t="s">
        <v>51</v>
      </c>
      <c r="G19" s="28"/>
      <c r="H19" s="4" t="s">
        <v>44</v>
      </c>
      <c r="I19" s="4" t="s">
        <v>50</v>
      </c>
      <c r="J19" s="4" t="s">
        <v>51</v>
      </c>
      <c r="K19" s="125"/>
      <c r="L19" s="4" t="s">
        <v>34</v>
      </c>
      <c r="M19" s="4" t="s">
        <v>50</v>
      </c>
      <c r="N19" s="4" t="s">
        <v>51</v>
      </c>
    </row>
    <row r="20" spans="2:14" ht="12.75" customHeight="1" x14ac:dyDescent="0.2">
      <c r="C20" s="126" t="s">
        <v>15</v>
      </c>
      <c r="D20" s="3" t="s">
        <v>62</v>
      </c>
      <c r="E20" s="44">
        <f>E5</f>
        <v>0.10291727971850451</v>
      </c>
      <c r="F20" s="3" t="s">
        <v>52</v>
      </c>
      <c r="G20" s="127" t="s">
        <v>15</v>
      </c>
      <c r="H20" s="3" t="s">
        <v>58</v>
      </c>
      <c r="I20" s="23">
        <f>IRR(D12:N12,0.1)</f>
        <v>5.4334540590946556E-2</v>
      </c>
      <c r="J20" s="3" t="s">
        <v>52</v>
      </c>
      <c r="K20" s="127" t="s">
        <v>15</v>
      </c>
      <c r="L20" s="3" t="s">
        <v>60</v>
      </c>
      <c r="M20" s="44">
        <f>E7</f>
        <v>0.1799999999999311</v>
      </c>
      <c r="N20" s="3" t="s">
        <v>52</v>
      </c>
    </row>
    <row r="21" spans="2:14" ht="12.75" customHeight="1" x14ac:dyDescent="0.2">
      <c r="C21" s="1">
        <v>1</v>
      </c>
      <c r="D21" s="8">
        <f>E11</f>
        <v>1174</v>
      </c>
      <c r="E21" s="25">
        <f>1/(1+E$20)^$C21</f>
        <v>0.90668631128458532</v>
      </c>
      <c r="F21" s="14">
        <f>D21*E21</f>
        <v>1064.4497294481032</v>
      </c>
      <c r="G21" s="1">
        <v>1</v>
      </c>
      <c r="H21" s="8">
        <f>E12</f>
        <v>724.57804778156583</v>
      </c>
      <c r="I21" s="25">
        <f>1/(1+I$20)^$C21</f>
        <v>0.94846555955523149</v>
      </c>
      <c r="J21" s="14">
        <f>H21*I21</f>
        <v>687.23732353058006</v>
      </c>
      <c r="K21" s="1">
        <v>1</v>
      </c>
      <c r="L21" s="8">
        <f>E13</f>
        <v>449.42195221843417</v>
      </c>
      <c r="M21" s="25">
        <f>1/(1+M$20)^$C21</f>
        <v>0.84745762711869355</v>
      </c>
      <c r="N21" s="14">
        <f>L21*M21</f>
        <v>380.86606120208512</v>
      </c>
    </row>
    <row r="22" spans="2:14" ht="12.75" customHeight="1" x14ac:dyDescent="0.2">
      <c r="C22" s="1">
        <v>2</v>
      </c>
      <c r="D22" s="8">
        <f>F11</f>
        <v>1210</v>
      </c>
      <c r="E22" s="25">
        <f t="shared" ref="E22:E30" si="5">1/(1+E$20)^$C22</f>
        <v>0.8220800670708478</v>
      </c>
      <c r="F22" s="14">
        <f t="shared" ref="F22:F30" si="6">D22*E22</f>
        <v>994.71688115572579</v>
      </c>
      <c r="G22" s="1">
        <v>2</v>
      </c>
      <c r="H22" s="8">
        <f>F12</f>
        <v>724.57804778156583</v>
      </c>
      <c r="I22" s="25">
        <f t="shared" ref="I22:I30" si="7">1/(1+I$20)^$C22</f>
        <v>0.89958691766241838</v>
      </c>
      <c r="J22" s="14">
        <f t="shared" ref="J22:J30" si="8">H22*I22</f>
        <v>651.82093260967133</v>
      </c>
      <c r="K22" s="1">
        <v>2</v>
      </c>
      <c r="L22" s="8">
        <f>F13</f>
        <v>485.42195221843417</v>
      </c>
      <c r="M22" s="25">
        <f t="shared" ref="M22:M30" si="9">1/(1+M$20)^$C22</f>
        <v>0.71818442976164665</v>
      </c>
      <c r="N22" s="14">
        <f t="shared" ref="N22:N30" si="10">L22*M22</f>
        <v>348.62248794778145</v>
      </c>
    </row>
    <row r="23" spans="2:14" ht="12.75" customHeight="1" x14ac:dyDescent="0.2">
      <c r="C23" s="1">
        <v>3</v>
      </c>
      <c r="D23" s="8">
        <f>G11</f>
        <v>1214</v>
      </c>
      <c r="E23" s="25">
        <f t="shared" si="5"/>
        <v>0.7453687435930515</v>
      </c>
      <c r="F23" s="14">
        <f t="shared" si="6"/>
        <v>904.87765472196452</v>
      </c>
      <c r="G23" s="1">
        <v>3</v>
      </c>
      <c r="H23" s="8">
        <f>G12</f>
        <v>724.57804778156583</v>
      </c>
      <c r="I23" s="25">
        <f t="shared" si="7"/>
        <v>0.85322720922925144</v>
      </c>
      <c r="J23" s="14">
        <f t="shared" si="8"/>
        <v>618.22970557744463</v>
      </c>
      <c r="K23" s="1">
        <v>3</v>
      </c>
      <c r="L23" s="8">
        <f>G13</f>
        <v>489.42195221843417</v>
      </c>
      <c r="M23" s="25">
        <f t="shared" si="9"/>
        <v>0.60863087267939719</v>
      </c>
      <c r="N23" s="14">
        <f t="shared" si="10"/>
        <v>297.87730988715981</v>
      </c>
    </row>
    <row r="24" spans="2:14" ht="12.75" customHeight="1" x14ac:dyDescent="0.2">
      <c r="C24" s="1">
        <v>4</v>
      </c>
      <c r="D24" s="8">
        <f>H11</f>
        <v>1250</v>
      </c>
      <c r="E24" s="25">
        <f t="shared" si="5"/>
        <v>0.67581563667520961</v>
      </c>
      <c r="F24" s="14">
        <f t="shared" si="6"/>
        <v>844.76954584401199</v>
      </c>
      <c r="G24" s="1">
        <v>4</v>
      </c>
      <c r="H24" s="8">
        <f>H12</f>
        <v>724.57804778156583</v>
      </c>
      <c r="I24" s="25">
        <f t="shared" si="7"/>
        <v>0.80925662242937069</v>
      </c>
      <c r="J24" s="14">
        <f t="shared" si="8"/>
        <v>586.36958363417716</v>
      </c>
      <c r="K24" s="1">
        <v>4</v>
      </c>
      <c r="L24" s="8">
        <f>H13</f>
        <v>525.42195221843417</v>
      </c>
      <c r="M24" s="25">
        <f t="shared" si="9"/>
        <v>0.51578887515206162</v>
      </c>
      <c r="N24" s="14">
        <f t="shared" si="10"/>
        <v>271.0067977149464</v>
      </c>
    </row>
    <row r="25" spans="2:14" ht="12.75" customHeight="1" x14ac:dyDescent="0.2">
      <c r="C25" s="1">
        <v>5</v>
      </c>
      <c r="D25" s="8">
        <f>I11</f>
        <v>1287.5</v>
      </c>
      <c r="E25" s="25">
        <f t="shared" si="5"/>
        <v>0.61275278672548938</v>
      </c>
      <c r="F25" s="14">
        <f t="shared" si="6"/>
        <v>788.9192129090676</v>
      </c>
      <c r="G25" s="1">
        <v>5</v>
      </c>
      <c r="H25" s="8">
        <f>I12</f>
        <v>724.57804778156583</v>
      </c>
      <c r="I25" s="25">
        <f t="shared" si="7"/>
        <v>0.76755203521624971</v>
      </c>
      <c r="J25" s="14">
        <f t="shared" si="8"/>
        <v>556.15135524775792</v>
      </c>
      <c r="K25" s="1">
        <v>5</v>
      </c>
      <c r="L25" s="8">
        <f>I13</f>
        <v>562.92195221843417</v>
      </c>
      <c r="M25" s="25">
        <f t="shared" si="9"/>
        <v>0.43710921623058613</v>
      </c>
      <c r="N25" s="14">
        <f t="shared" si="10"/>
        <v>246.05837333319121</v>
      </c>
    </row>
    <row r="26" spans="2:14" ht="12.75" customHeight="1" x14ac:dyDescent="0.2">
      <c r="C26" s="1">
        <v>6</v>
      </c>
      <c r="D26" s="8">
        <f>J11</f>
        <v>1326.125</v>
      </c>
      <c r="E26" s="25">
        <f t="shared" si="5"/>
        <v>0.5555745639254841</v>
      </c>
      <c r="F26" s="14">
        <f t="shared" si="6"/>
        <v>736.7613185856826</v>
      </c>
      <c r="G26" s="1">
        <v>6</v>
      </c>
      <c r="H26" s="8">
        <f>J12</f>
        <v>724.57804778156583</v>
      </c>
      <c r="I26" s="25">
        <f t="shared" si="7"/>
        <v>0.72799667056913708</v>
      </c>
      <c r="J26" s="14">
        <f t="shared" si="8"/>
        <v>527.49040635246502</v>
      </c>
      <c r="K26" s="1">
        <v>6</v>
      </c>
      <c r="L26" s="8">
        <f>J13</f>
        <v>601.54695221843417</v>
      </c>
      <c r="M26" s="25">
        <f t="shared" si="9"/>
        <v>0.37043153917848454</v>
      </c>
      <c r="N26" s="14">
        <f t="shared" si="10"/>
        <v>222.83196339840086</v>
      </c>
    </row>
    <row r="27" spans="2:14" ht="12.75" customHeight="1" x14ac:dyDescent="0.2">
      <c r="C27" s="1">
        <v>7</v>
      </c>
      <c r="D27" s="8">
        <f>K11</f>
        <v>1365.9087500000001</v>
      </c>
      <c r="E27" s="25">
        <f t="shared" si="5"/>
        <v>0.50373185200913917</v>
      </c>
      <c r="F27" s="14">
        <f t="shared" si="6"/>
        <v>688.05174431298826</v>
      </c>
      <c r="G27" s="1">
        <v>7</v>
      </c>
      <c r="H27" s="8">
        <f>K12</f>
        <v>724.57804778156583</v>
      </c>
      <c r="I27" s="25">
        <f t="shared" si="7"/>
        <v>0.69047976950570189</v>
      </c>
      <c r="J27" s="14">
        <f t="shared" si="8"/>
        <v>500.30648342110703</v>
      </c>
      <c r="K27" s="1">
        <v>7</v>
      </c>
      <c r="L27" s="8">
        <f>K13</f>
        <v>641.33070221843423</v>
      </c>
      <c r="M27" s="25">
        <f t="shared" si="9"/>
        <v>0.31392503320212389</v>
      </c>
      <c r="N27" s="14">
        <f t="shared" si="10"/>
        <v>201.3297619874634</v>
      </c>
    </row>
    <row r="28" spans="2:14" ht="12.75" customHeight="1" x14ac:dyDescent="0.2">
      <c r="C28" s="1">
        <v>8</v>
      </c>
      <c r="D28" s="8">
        <f>L11</f>
        <v>1406.8860125000001</v>
      </c>
      <c r="E28" s="25">
        <f t="shared" si="5"/>
        <v>0.45672677477471896</v>
      </c>
      <c r="F28" s="14">
        <f t="shared" si="6"/>
        <v>642.56251096479002</v>
      </c>
      <c r="G28" s="1">
        <v>8</v>
      </c>
      <c r="H28" s="8">
        <f>L12</f>
        <v>724.57804778156583</v>
      </c>
      <c r="I28" s="25">
        <f t="shared" si="7"/>
        <v>0.654896280945793</v>
      </c>
      <c r="J28" s="14">
        <f t="shared" si="8"/>
        <v>474.52346874711054</v>
      </c>
      <c r="K28" s="1">
        <v>8</v>
      </c>
      <c r="L28" s="8">
        <f>L13</f>
        <v>682.30796471843428</v>
      </c>
      <c r="M28" s="25">
        <f t="shared" si="9"/>
        <v>0.26603816373062894</v>
      </c>
      <c r="N28" s="14">
        <f t="shared" si="10"/>
        <v>181.51995803247502</v>
      </c>
    </row>
    <row r="29" spans="2:14" ht="12.75" customHeight="1" x14ac:dyDescent="0.2">
      <c r="C29" s="1">
        <v>9</v>
      </c>
      <c r="D29" s="8">
        <f>M11</f>
        <v>1449.092592875</v>
      </c>
      <c r="E29" s="25">
        <f t="shared" si="5"/>
        <v>0.41410791468539554</v>
      </c>
      <c r="F29" s="14">
        <f t="shared" si="6"/>
        <v>600.08071182151912</v>
      </c>
      <c r="G29" s="1">
        <v>9</v>
      </c>
      <c r="H29" s="8">
        <f>M12</f>
        <v>724.57804778156583</v>
      </c>
      <c r="I29" s="25">
        <f t="shared" si="7"/>
        <v>0.62114656755789155</v>
      </c>
      <c r="J29" s="14">
        <f t="shared" si="8"/>
        <v>450.06916730731757</v>
      </c>
      <c r="K29" s="1">
        <v>9</v>
      </c>
      <c r="L29" s="8">
        <f>M13</f>
        <v>724.51454509343421</v>
      </c>
      <c r="M29" s="25">
        <f t="shared" si="9"/>
        <v>0.22545607095817333</v>
      </c>
      <c r="N29" s="14">
        <f t="shared" si="10"/>
        <v>163.34620268881397</v>
      </c>
    </row>
    <row r="30" spans="2:14" ht="12.75" customHeight="1" x14ac:dyDescent="0.2">
      <c r="C30" s="19">
        <v>10</v>
      </c>
      <c r="D30" s="26">
        <f>N11</f>
        <v>18061.699390968526</v>
      </c>
      <c r="E30" s="27">
        <f t="shared" si="5"/>
        <v>0.37546597763985301</v>
      </c>
      <c r="F30" s="21">
        <f t="shared" si="6"/>
        <v>6781.5536196671355</v>
      </c>
      <c r="G30" s="19">
        <v>10</v>
      </c>
      <c r="H30" s="26">
        <f>N12</f>
        <v>8114.4601510478033</v>
      </c>
      <c r="I30" s="27">
        <f t="shared" si="7"/>
        <v>0.58913612676460703</v>
      </c>
      <c r="J30" s="21">
        <f t="shared" si="8"/>
        <v>4780.5216241740509</v>
      </c>
      <c r="K30" s="19">
        <v>10</v>
      </c>
      <c r="L30" s="26">
        <f>N13</f>
        <v>9947.2392399207238</v>
      </c>
      <c r="M30" s="27">
        <f t="shared" si="9"/>
        <v>0.19106446691371737</v>
      </c>
      <c r="N30" s="21">
        <f t="shared" si="10"/>
        <v>1900.5639626386642</v>
      </c>
    </row>
    <row r="31" spans="2:14" ht="12.75" customHeight="1" x14ac:dyDescent="0.2">
      <c r="D31" s="1" t="s">
        <v>53</v>
      </c>
      <c r="F31" s="14">
        <f>SUM(F21:F30)</f>
        <v>14046.742929430988</v>
      </c>
      <c r="H31" s="1" t="s">
        <v>59</v>
      </c>
      <c r="J31" s="14">
        <f>SUM(J21:J30)</f>
        <v>9832.7200506016816</v>
      </c>
      <c r="L31" s="1" t="s">
        <v>61</v>
      </c>
      <c r="N31" s="14">
        <f>SUM(N21:N30)</f>
        <v>4214.0228788309814</v>
      </c>
    </row>
    <row r="32" spans="2:14" ht="12.75" customHeight="1" x14ac:dyDescent="0.2"/>
    <row r="33" spans="2:14" ht="12.75" customHeight="1" x14ac:dyDescent="0.2">
      <c r="B33" s="53" t="s">
        <v>84</v>
      </c>
      <c r="D33" s="1" t="s">
        <v>138</v>
      </c>
      <c r="F33" s="8">
        <f>Calcs!F13</f>
        <v>1492.56537066125</v>
      </c>
      <c r="H33" s="1" t="s">
        <v>68</v>
      </c>
      <c r="J33" s="8">
        <f>E12</f>
        <v>724.57804778156583</v>
      </c>
      <c r="L33" s="1" t="s">
        <v>67</v>
      </c>
      <c r="N33" s="8">
        <f>F33-J33</f>
        <v>767.98732287968414</v>
      </c>
    </row>
    <row r="34" spans="2:14" ht="12.75" customHeight="1" x14ac:dyDescent="0.2">
      <c r="D34" s="11" t="s">
        <v>65</v>
      </c>
      <c r="E34" s="11"/>
      <c r="F34" s="26">
        <f>Calcs!C20</f>
        <v>16569.134020307276</v>
      </c>
      <c r="H34" s="11" t="s">
        <v>66</v>
      </c>
      <c r="I34" s="11"/>
      <c r="J34" s="26">
        <f>Calcs!C21</f>
        <v>7389.8821032662372</v>
      </c>
      <c r="L34" s="11" t="s">
        <v>63</v>
      </c>
      <c r="M34" s="11"/>
      <c r="N34" s="26">
        <f>Calcs!C20-Calcs!C21</f>
        <v>9179.2519170410378</v>
      </c>
    </row>
    <row r="35" spans="2:14" ht="12.75" customHeight="1" x14ac:dyDescent="0.2">
      <c r="D35" s="19"/>
      <c r="E35" s="19"/>
      <c r="F35" s="49"/>
      <c r="H35" s="19"/>
      <c r="I35" s="19"/>
      <c r="J35" s="49"/>
      <c r="L35" s="19"/>
      <c r="M35" s="19"/>
      <c r="N35" s="49"/>
    </row>
    <row r="36" spans="2:14" ht="12.75" customHeight="1" x14ac:dyDescent="0.2">
      <c r="B36" s="53" t="s">
        <v>81</v>
      </c>
      <c r="D36" s="50" t="str">
        <f>CONCATENATE("Year 11 Cash Flow of $", ROUND(Calcs!F14,0))</f>
        <v>Year 11 Cash Flow of $1537</v>
      </c>
      <c r="E36" s="19"/>
      <c r="F36" s="49"/>
      <c r="H36" s="19" t="s">
        <v>78</v>
      </c>
      <c r="I36" s="19"/>
      <c r="J36" s="49"/>
      <c r="L36" s="50" t="s">
        <v>97</v>
      </c>
      <c r="M36" s="19"/>
      <c r="N36" s="49">
        <f>F39</f>
        <v>16569.134020307276</v>
      </c>
    </row>
    <row r="37" spans="2:14" ht="12.75" customHeight="1" x14ac:dyDescent="0.2">
      <c r="D37" s="19" t="str">
        <f>CONCATENATE("capitalized at ", Input!E16*100, "% equals")</f>
        <v>capitalized at 9% equals</v>
      </c>
      <c r="F37" s="51">
        <f>Calcs!F14/Input!E16</f>
        <v>17081.581464234307</v>
      </c>
      <c r="H37" s="50" t="s">
        <v>83</v>
      </c>
      <c r="I37" s="19"/>
      <c r="J37" s="49"/>
      <c r="L37" s="52" t="s">
        <v>79</v>
      </c>
      <c r="M37" s="19"/>
      <c r="N37" s="26">
        <f>J34</f>
        <v>7389.8821032662372</v>
      </c>
    </row>
    <row r="38" spans="2:14" ht="12.75" customHeight="1" x14ac:dyDescent="0.2">
      <c r="D38" s="50" t="s">
        <v>85</v>
      </c>
      <c r="E38" s="19"/>
      <c r="F38" s="26">
        <f>F37*Input!E17</f>
        <v>512.44744392702921</v>
      </c>
      <c r="H38" s="19" t="s">
        <v>82</v>
      </c>
      <c r="I38" s="19"/>
      <c r="J38" s="49"/>
      <c r="L38" s="19" t="s">
        <v>80</v>
      </c>
      <c r="M38" s="19"/>
      <c r="N38" s="49">
        <f>N36-N37</f>
        <v>9179.2519170410378</v>
      </c>
    </row>
    <row r="39" spans="2:14" ht="12.75" customHeight="1" x14ac:dyDescent="0.2">
      <c r="D39" s="50" t="s">
        <v>86</v>
      </c>
      <c r="E39" s="19"/>
      <c r="F39" s="49">
        <f>F37-F38</f>
        <v>16569.134020307276</v>
      </c>
      <c r="H39" s="19"/>
      <c r="I39" s="19"/>
      <c r="J39" s="49"/>
      <c r="L39" s="19"/>
      <c r="M39" s="19"/>
      <c r="N39" s="49"/>
    </row>
    <row r="40" spans="2:14" ht="12.75" customHeight="1" x14ac:dyDescent="0.2"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2:14" ht="12.75" customHeight="1" x14ac:dyDescent="0.2"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2:14" ht="12.75" x14ac:dyDescent="0.2"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2:14" ht="12.75" x14ac:dyDescent="0.2"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2:14" ht="12.75" x14ac:dyDescent="0.2"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2:14" ht="12.75" x14ac:dyDescent="0.2"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2:14" ht="12.75" x14ac:dyDescent="0.2"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2:14" ht="12.75" x14ac:dyDescent="0.2"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2:14" ht="12.75" x14ac:dyDescent="0.2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 ht="12.75" x14ac:dyDescent="0.2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 ht="12.75" x14ac:dyDescent="0.2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 ht="12.75" x14ac:dyDescent="0.2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 ht="12.75" x14ac:dyDescent="0.2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 ht="12.75" x14ac:dyDescent="0.2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 ht="12.75" x14ac:dyDescent="0.2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 ht="12.75" x14ac:dyDescent="0.2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 ht="12.75" x14ac:dyDescent="0.2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 ht="12.75" x14ac:dyDescent="0.2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 ht="12.75" x14ac:dyDescent="0.2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 ht="12.75" x14ac:dyDescent="0.2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 ht="12.75" x14ac:dyDescent="0.2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 ht="12.75" x14ac:dyDescent="0.2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14" ht="12.75" x14ac:dyDescent="0.2"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2:14" ht="12.75" x14ac:dyDescent="0.2"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2:14" ht="12.75" x14ac:dyDescent="0.2"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2:14" ht="12.75" x14ac:dyDescent="0.2"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2:14" ht="12.75" x14ac:dyDescent="0.2"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2:14" ht="12.75" x14ac:dyDescent="0.2"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2:14" ht="12.75" x14ac:dyDescent="0.2"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2:14" ht="12.75" x14ac:dyDescent="0.2"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2:14" ht="12.75" x14ac:dyDescent="0.2"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2:14" ht="12.75" x14ac:dyDescent="0.2"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2:14" ht="12.75" x14ac:dyDescent="0.2"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2:14" ht="12.75" x14ac:dyDescent="0.2"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2:14" ht="12.75" x14ac:dyDescent="0.2">
      <c r="B74"/>
      <c r="C74"/>
      <c r="D74"/>
      <c r="E74"/>
      <c r="F74"/>
      <c r="G74"/>
      <c r="H74"/>
      <c r="I74"/>
      <c r="J74"/>
      <c r="K74"/>
      <c r="L74"/>
      <c r="M74"/>
      <c r="N74"/>
    </row>
  </sheetData>
  <mergeCells count="4">
    <mergeCell ref="H3:K3"/>
    <mergeCell ref="D18:F18"/>
    <mergeCell ref="H18:J18"/>
    <mergeCell ref="L18:N18"/>
  </mergeCells>
  <phoneticPr fontId="0" type="noConversion"/>
  <pageMargins left="0.25" right="0.25" top="1" bottom="1" header="0.5" footer="0.5"/>
  <pageSetup scale="89" fitToHeight="2" orientation="landscape" horizontalDpi="4294967292" r:id="rId1"/>
  <headerFooter alignWithMargins="0"/>
  <rowBreaks count="1" manualBreakCount="1">
    <brk id="40" min="1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40"/>
  <sheetViews>
    <sheetView showGridLines="0" workbookViewId="0">
      <selection sqref="A1:XFD1"/>
    </sheetView>
  </sheetViews>
  <sheetFormatPr defaultColWidth="8.85546875" defaultRowHeight="12.75" x14ac:dyDescent="0.2"/>
  <cols>
    <col min="1" max="1" width="3.7109375" customWidth="1"/>
    <col min="2" max="2" width="27.7109375" customWidth="1"/>
    <col min="3" max="3" width="5.7109375" customWidth="1"/>
    <col min="4" max="14" width="10.7109375" customWidth="1"/>
  </cols>
  <sheetData>
    <row r="1" spans="2:14" ht="15.75" x14ac:dyDescent="0.25">
      <c r="B1" s="16" t="s">
        <v>136</v>
      </c>
    </row>
    <row r="3" spans="2:14" x14ac:dyDescent="0.2">
      <c r="B3" s="78" t="s">
        <v>64</v>
      </c>
      <c r="C3" s="78"/>
      <c r="D3" s="78"/>
      <c r="E3" s="78"/>
      <c r="F3" s="79" t="s">
        <v>142</v>
      </c>
      <c r="G3" s="1"/>
      <c r="H3" s="129" t="s">
        <v>134</v>
      </c>
      <c r="I3" s="129"/>
      <c r="J3" s="129"/>
      <c r="K3" s="129"/>
      <c r="M3" s="1"/>
      <c r="N3" s="1"/>
    </row>
    <row r="4" spans="2:14" x14ac:dyDescent="0.2">
      <c r="B4" s="81" t="str">
        <f>Input!D4</f>
        <v>Sample Inn</v>
      </c>
      <c r="C4" s="81"/>
      <c r="D4" s="80" t="s">
        <v>47</v>
      </c>
      <c r="E4" s="101" t="s">
        <v>48</v>
      </c>
      <c r="F4" s="101" t="s">
        <v>141</v>
      </c>
      <c r="G4" s="1"/>
      <c r="H4" s="119" t="s">
        <v>129</v>
      </c>
      <c r="I4" s="119"/>
      <c r="J4" s="119"/>
      <c r="K4" s="70" t="e">
        <f>(F37/D5)-1</f>
        <v>#N/A</v>
      </c>
      <c r="M4" s="1"/>
      <c r="N4" s="1"/>
    </row>
    <row r="5" spans="2:14" x14ac:dyDescent="0.2">
      <c r="B5" s="119" t="s">
        <v>6</v>
      </c>
      <c r="C5" s="1"/>
      <c r="D5" s="14" t="e">
        <f>Calcs!C45</f>
        <v>#N/A</v>
      </c>
      <c r="E5" s="20" t="e">
        <f>IRR(D11:N11,0.1)</f>
        <v>#VALUE!</v>
      </c>
      <c r="F5" s="14" t="e">
        <f>D5/Input!$E$11*1000</f>
        <v>#N/A</v>
      </c>
      <c r="G5" s="1"/>
      <c r="H5" s="119" t="s">
        <v>130</v>
      </c>
      <c r="I5" s="119"/>
      <c r="J5" s="119"/>
      <c r="K5" s="20" t="e">
        <f>RATE(10,,D5,-F37)</f>
        <v>#N/A</v>
      </c>
      <c r="M5" s="1"/>
      <c r="N5" s="1"/>
    </row>
    <row r="6" spans="2:14" x14ac:dyDescent="0.2">
      <c r="B6" s="119" t="s">
        <v>43</v>
      </c>
      <c r="C6" s="1"/>
      <c r="D6" s="14" t="e">
        <f>Calcs!C46</f>
        <v>#N/A</v>
      </c>
      <c r="E6" s="20" t="e">
        <f>Input!E15*RATE(10*Input!E15,E12/Input!E15,D12,Calcs!C41)</f>
        <v>#N/A</v>
      </c>
      <c r="F6" s="14" t="e">
        <f>D6/Input!$E$11*1000</f>
        <v>#N/A</v>
      </c>
      <c r="G6" s="1"/>
      <c r="H6" s="119" t="s">
        <v>131</v>
      </c>
      <c r="I6" s="119"/>
      <c r="J6" s="119"/>
      <c r="K6" s="72" t="e">
        <f>1-K7</f>
        <v>#VALUE!</v>
      </c>
      <c r="M6" s="1"/>
      <c r="N6" s="1"/>
    </row>
    <row r="7" spans="2:14" x14ac:dyDescent="0.2">
      <c r="B7" s="121" t="s">
        <v>49</v>
      </c>
      <c r="C7" s="11"/>
      <c r="D7" s="21" t="e">
        <f>D5-D6</f>
        <v>#N/A</v>
      </c>
      <c r="E7" s="22" t="e">
        <f>IRR(D13:N13,0.1)</f>
        <v>#VALUE!</v>
      </c>
      <c r="F7" s="21" t="e">
        <f>D7/Input!$E$11*1000</f>
        <v>#N/A</v>
      </c>
      <c r="G7" s="1"/>
      <c r="H7" s="119" t="s">
        <v>132</v>
      </c>
      <c r="I7" s="119"/>
      <c r="J7" s="119"/>
      <c r="K7" s="20" t="e">
        <f>((F39/(1+E5)^10)/D5)</f>
        <v>#VALUE!</v>
      </c>
      <c r="M7" s="1"/>
      <c r="N7" s="1"/>
    </row>
    <row r="8" spans="2:14" x14ac:dyDescent="0.2">
      <c r="B8" s="51"/>
      <c r="C8" s="19"/>
      <c r="D8" s="51"/>
      <c r="E8" s="19"/>
      <c r="F8" s="71"/>
      <c r="G8" s="1"/>
      <c r="H8" s="121" t="s">
        <v>133</v>
      </c>
      <c r="I8" s="121"/>
      <c r="J8" s="121"/>
      <c r="K8" s="73" t="e">
        <f>Input!E19*(1/(1+Input!E20)^(Input!E18-1))/D5</f>
        <v>#N/A</v>
      </c>
      <c r="M8" s="1"/>
      <c r="N8" s="1"/>
    </row>
    <row r="9" spans="2:1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x14ac:dyDescent="0.2">
      <c r="B10" s="128" t="s">
        <v>69</v>
      </c>
      <c r="C10" s="3" t="s">
        <v>15</v>
      </c>
      <c r="D10" s="102">
        <f>Input!E10</f>
        <v>2016</v>
      </c>
      <c r="E10" s="102">
        <f>D10+1</f>
        <v>2017</v>
      </c>
      <c r="F10" s="102">
        <f t="shared" ref="F10:N10" si="0">E10+1</f>
        <v>2018</v>
      </c>
      <c r="G10" s="102">
        <f t="shared" si="0"/>
        <v>2019</v>
      </c>
      <c r="H10" s="102">
        <f t="shared" si="0"/>
        <v>2020</v>
      </c>
      <c r="I10" s="102">
        <f t="shared" si="0"/>
        <v>2021</v>
      </c>
      <c r="J10" s="102">
        <f t="shared" si="0"/>
        <v>2022</v>
      </c>
      <c r="K10" s="102">
        <f t="shared" si="0"/>
        <v>2023</v>
      </c>
      <c r="L10" s="102">
        <f t="shared" si="0"/>
        <v>2024</v>
      </c>
      <c r="M10" s="102">
        <f t="shared" si="0"/>
        <v>2025</v>
      </c>
      <c r="N10" s="102">
        <f t="shared" si="0"/>
        <v>2026</v>
      </c>
    </row>
    <row r="11" spans="2:14" x14ac:dyDescent="0.2">
      <c r="B11" s="120" t="s">
        <v>46</v>
      </c>
      <c r="C11" s="1"/>
      <c r="D11" s="14" t="e">
        <f>-D5</f>
        <v>#N/A</v>
      </c>
      <c r="E11" s="8">
        <f>Calcs!F4</f>
        <v>1174</v>
      </c>
      <c r="F11" s="8">
        <f>Calcs!F5</f>
        <v>1210</v>
      </c>
      <c r="G11" s="8">
        <f>Calcs!F6</f>
        <v>1214</v>
      </c>
      <c r="H11" s="8">
        <f>Calcs!F7</f>
        <v>1250</v>
      </c>
      <c r="I11" s="8">
        <f>Calcs!F8</f>
        <v>1287.5</v>
      </c>
      <c r="J11" s="8">
        <f>Calcs!F9</f>
        <v>1326.125</v>
      </c>
      <c r="K11" s="8">
        <f>Calcs!F10</f>
        <v>1365.9087500000001</v>
      </c>
      <c r="L11" s="8">
        <f>Calcs!F11</f>
        <v>1406.8860125000001</v>
      </c>
      <c r="M11" s="8">
        <f>Calcs!F12</f>
        <v>1449.092592875</v>
      </c>
      <c r="N11" s="8">
        <f>Calcs!F13+(Calcs!F14/Input!E16)*(1-Input!E17)</f>
        <v>18061.699390968526</v>
      </c>
    </row>
    <row r="12" spans="2:14" x14ac:dyDescent="0.2">
      <c r="B12" s="119" t="s">
        <v>44</v>
      </c>
      <c r="C12" s="1"/>
      <c r="D12" s="14" t="e">
        <f>-D6</f>
        <v>#N/A</v>
      </c>
      <c r="E12" s="14" t="e">
        <f>Calcs!$C$43/Input!$E$28</f>
        <v>#N/A</v>
      </c>
      <c r="F12" s="14" t="e">
        <f>Calcs!$C$43/Input!$E$28</f>
        <v>#N/A</v>
      </c>
      <c r="G12" s="14" t="e">
        <f>Calcs!$C$43/Input!$E$28</f>
        <v>#N/A</v>
      </c>
      <c r="H12" s="14" t="e">
        <f>Calcs!$C$43/Input!$E$28</f>
        <v>#N/A</v>
      </c>
      <c r="I12" s="14" t="e">
        <f>Calcs!$C$43/Input!$E$28</f>
        <v>#N/A</v>
      </c>
      <c r="J12" s="14" t="e">
        <f>Calcs!$C$43/Input!$E$28</f>
        <v>#N/A</v>
      </c>
      <c r="K12" s="14" t="e">
        <f>Calcs!$C$43/Input!$E$28</f>
        <v>#N/A</v>
      </c>
      <c r="L12" s="14" t="e">
        <f>Calcs!$C$43/Input!$E$28</f>
        <v>#N/A</v>
      </c>
      <c r="M12" s="14" t="e">
        <f>Calcs!$C$43/Input!$E$28</f>
        <v>#N/A</v>
      </c>
      <c r="N12" s="14" t="e">
        <f>Calcs!$C$43/Input!$E$28+Calcs!C41</f>
        <v>#N/A</v>
      </c>
    </row>
    <row r="13" spans="2:14" x14ac:dyDescent="0.2">
      <c r="B13" s="121" t="s">
        <v>45</v>
      </c>
      <c r="C13" s="1"/>
      <c r="D13" s="14" t="e">
        <f>-D7</f>
        <v>#N/A</v>
      </c>
      <c r="E13" s="8" t="e">
        <f>E11-E12</f>
        <v>#N/A</v>
      </c>
      <c r="F13" s="8" t="e">
        <f t="shared" ref="F13:N13" si="1">F11-F12</f>
        <v>#N/A</v>
      </c>
      <c r="G13" s="8" t="e">
        <f t="shared" si="1"/>
        <v>#N/A</v>
      </c>
      <c r="H13" s="8" t="e">
        <f t="shared" si="1"/>
        <v>#N/A</v>
      </c>
      <c r="I13" s="8" t="e">
        <f t="shared" si="1"/>
        <v>#N/A</v>
      </c>
      <c r="J13" s="8" t="e">
        <f t="shared" si="1"/>
        <v>#N/A</v>
      </c>
      <c r="K13" s="8" t="e">
        <f t="shared" si="1"/>
        <v>#N/A</v>
      </c>
      <c r="L13" s="8" t="e">
        <f t="shared" si="1"/>
        <v>#N/A</v>
      </c>
      <c r="M13" s="8" t="e">
        <f t="shared" si="1"/>
        <v>#N/A</v>
      </c>
      <c r="N13" s="8" t="e">
        <f t="shared" si="1"/>
        <v>#N/A</v>
      </c>
    </row>
    <row r="14" spans="2:14" x14ac:dyDescent="0.2">
      <c r="B14" s="122" t="s">
        <v>28</v>
      </c>
      <c r="C14" s="37"/>
      <c r="D14" s="97"/>
      <c r="E14" s="98" t="e">
        <f>E11/E12</f>
        <v>#N/A</v>
      </c>
      <c r="F14" s="98" t="e">
        <f>F11/F12</f>
        <v>#N/A</v>
      </c>
      <c r="G14" s="98" t="e">
        <f>G11/G12</f>
        <v>#N/A</v>
      </c>
      <c r="H14" s="98" t="e">
        <f t="shared" ref="H14:M14" si="2">H11/H12</f>
        <v>#N/A</v>
      </c>
      <c r="I14" s="98" t="e">
        <f t="shared" si="2"/>
        <v>#N/A</v>
      </c>
      <c r="J14" s="98" t="e">
        <f t="shared" si="2"/>
        <v>#N/A</v>
      </c>
      <c r="K14" s="98" t="e">
        <f t="shared" si="2"/>
        <v>#N/A</v>
      </c>
      <c r="L14" s="98" t="e">
        <f t="shared" si="2"/>
        <v>#N/A</v>
      </c>
      <c r="M14" s="98" t="e">
        <f t="shared" si="2"/>
        <v>#N/A</v>
      </c>
      <c r="N14" s="98">
        <f>Calcs!F27/'Output-LTV'!J33</f>
        <v>2.0599097298503923</v>
      </c>
    </row>
    <row r="15" spans="2:14" x14ac:dyDescent="0.2">
      <c r="B15" s="123" t="s">
        <v>118</v>
      </c>
      <c r="C15" s="19"/>
      <c r="D15" s="51"/>
      <c r="E15" s="99" t="e">
        <f>E11/$D$6</f>
        <v>#N/A</v>
      </c>
      <c r="F15" s="99" t="e">
        <f t="shared" ref="F15:M15" si="3">F11/$D$6</f>
        <v>#N/A</v>
      </c>
      <c r="G15" s="99" t="e">
        <f t="shared" si="3"/>
        <v>#N/A</v>
      </c>
      <c r="H15" s="99" t="e">
        <f t="shared" si="3"/>
        <v>#N/A</v>
      </c>
      <c r="I15" s="99" t="e">
        <f t="shared" si="3"/>
        <v>#N/A</v>
      </c>
      <c r="J15" s="99" t="e">
        <f t="shared" si="3"/>
        <v>#N/A</v>
      </c>
      <c r="K15" s="99" t="e">
        <f t="shared" si="3"/>
        <v>#N/A</v>
      </c>
      <c r="L15" s="99" t="e">
        <f t="shared" si="3"/>
        <v>#N/A</v>
      </c>
      <c r="M15" s="99" t="e">
        <f t="shared" si="3"/>
        <v>#N/A</v>
      </c>
      <c r="N15" s="99" t="e">
        <f>(N11-F39)/$D$6</f>
        <v>#N/A</v>
      </c>
    </row>
    <row r="16" spans="2:14" x14ac:dyDescent="0.2">
      <c r="B16" s="124" t="s">
        <v>152</v>
      </c>
      <c r="C16" s="11"/>
      <c r="D16" s="21"/>
      <c r="E16" s="73" t="e">
        <f>E13/$D$7</f>
        <v>#N/A</v>
      </c>
      <c r="F16" s="73" t="e">
        <f t="shared" ref="F16:M16" si="4">F13/$D$7</f>
        <v>#N/A</v>
      </c>
      <c r="G16" s="73" t="e">
        <f t="shared" si="4"/>
        <v>#N/A</v>
      </c>
      <c r="H16" s="73" t="e">
        <f t="shared" si="4"/>
        <v>#N/A</v>
      </c>
      <c r="I16" s="73" t="e">
        <f t="shared" si="4"/>
        <v>#N/A</v>
      </c>
      <c r="J16" s="73" t="e">
        <f t="shared" si="4"/>
        <v>#N/A</v>
      </c>
      <c r="K16" s="73" t="e">
        <f t="shared" si="4"/>
        <v>#N/A</v>
      </c>
      <c r="L16" s="73" t="e">
        <f t="shared" si="4"/>
        <v>#N/A</v>
      </c>
      <c r="M16" s="73" t="e">
        <f t="shared" si="4"/>
        <v>#N/A</v>
      </c>
      <c r="N16" s="73" t="e">
        <f>(N13-N38)/$D$7</f>
        <v>#N/A</v>
      </c>
    </row>
    <row r="17" spans="2:14" x14ac:dyDescent="0.2">
      <c r="B17" s="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2">
      <c r="B18" s="4" t="s">
        <v>54</v>
      </c>
      <c r="C18" s="1"/>
      <c r="D18" s="130" t="s">
        <v>55</v>
      </c>
      <c r="E18" s="130"/>
      <c r="F18" s="130"/>
      <c r="G18" s="1"/>
      <c r="H18" s="130" t="s">
        <v>56</v>
      </c>
      <c r="I18" s="130"/>
      <c r="J18" s="130"/>
      <c r="K18" s="1"/>
      <c r="L18" s="130" t="s">
        <v>57</v>
      </c>
      <c r="M18" s="130"/>
      <c r="N18" s="130"/>
    </row>
    <row r="19" spans="2:14" x14ac:dyDescent="0.2">
      <c r="B19" s="1"/>
      <c r="C19" s="1"/>
      <c r="D19" s="4" t="s">
        <v>34</v>
      </c>
      <c r="E19" s="4" t="s">
        <v>50</v>
      </c>
      <c r="F19" s="4" t="s">
        <v>51</v>
      </c>
      <c r="G19" s="1"/>
      <c r="H19" s="4" t="s">
        <v>44</v>
      </c>
      <c r="I19" s="4" t="s">
        <v>50</v>
      </c>
      <c r="J19" s="4" t="s">
        <v>51</v>
      </c>
      <c r="K19" s="1"/>
      <c r="L19" s="4" t="s">
        <v>34</v>
      </c>
      <c r="M19" s="4" t="s">
        <v>50</v>
      </c>
      <c r="N19" s="4" t="s">
        <v>51</v>
      </c>
    </row>
    <row r="20" spans="2:14" x14ac:dyDescent="0.2">
      <c r="B20" s="28"/>
      <c r="C20" s="11" t="s">
        <v>15</v>
      </c>
      <c r="D20" s="3" t="s">
        <v>62</v>
      </c>
      <c r="E20" s="23" t="e">
        <f>E5</f>
        <v>#VALUE!</v>
      </c>
      <c r="F20" s="3" t="s">
        <v>52</v>
      </c>
      <c r="G20" s="24" t="s">
        <v>15</v>
      </c>
      <c r="H20" s="3" t="s">
        <v>58</v>
      </c>
      <c r="I20" s="23" t="e">
        <f>IRR(D12:N12,0.1)</f>
        <v>#VALUE!</v>
      </c>
      <c r="J20" s="3" t="s">
        <v>52</v>
      </c>
      <c r="K20" s="24" t="s">
        <v>15</v>
      </c>
      <c r="L20" s="3" t="s">
        <v>60</v>
      </c>
      <c r="M20" s="23" t="e">
        <f>E7</f>
        <v>#VALUE!</v>
      </c>
      <c r="N20" s="3" t="s">
        <v>52</v>
      </c>
    </row>
    <row r="21" spans="2:14" x14ac:dyDescent="0.2">
      <c r="B21" s="1"/>
      <c r="C21" s="1">
        <v>1</v>
      </c>
      <c r="D21" s="8">
        <f>E11</f>
        <v>1174</v>
      </c>
      <c r="E21" s="25" t="e">
        <f>1/(1+E$20)^$C21</f>
        <v>#VALUE!</v>
      </c>
      <c r="F21" s="14" t="e">
        <f>D21*E21</f>
        <v>#VALUE!</v>
      </c>
      <c r="G21" s="1">
        <v>1</v>
      </c>
      <c r="H21" s="8" t="e">
        <f>E12</f>
        <v>#N/A</v>
      </c>
      <c r="I21" s="25" t="e">
        <f>1/(1+I$20)^$C21</f>
        <v>#VALUE!</v>
      </c>
      <c r="J21" s="14" t="e">
        <f>H21*I21</f>
        <v>#N/A</v>
      </c>
      <c r="K21" s="1">
        <v>1</v>
      </c>
      <c r="L21" s="8" t="e">
        <f>E13</f>
        <v>#N/A</v>
      </c>
      <c r="M21" s="25" t="e">
        <f>1/(1+M$20)^$C21</f>
        <v>#VALUE!</v>
      </c>
      <c r="N21" s="14" t="e">
        <f>L21*M21</f>
        <v>#N/A</v>
      </c>
    </row>
    <row r="22" spans="2:14" x14ac:dyDescent="0.2">
      <c r="B22" s="1"/>
      <c r="C22" s="1">
        <v>2</v>
      </c>
      <c r="D22" s="8">
        <f>F11</f>
        <v>1210</v>
      </c>
      <c r="E22" s="25" t="e">
        <f t="shared" ref="E22:E30" si="5">1/(1+E$20)^$C22</f>
        <v>#VALUE!</v>
      </c>
      <c r="F22" s="14" t="e">
        <f t="shared" ref="F22:F30" si="6">D22*E22</f>
        <v>#VALUE!</v>
      </c>
      <c r="G22" s="1">
        <v>2</v>
      </c>
      <c r="H22" s="8" t="e">
        <f>F12</f>
        <v>#N/A</v>
      </c>
      <c r="I22" s="25" t="e">
        <f t="shared" ref="I22:I30" si="7">1/(1+I$20)^$C22</f>
        <v>#VALUE!</v>
      </c>
      <c r="J22" s="14" t="e">
        <f t="shared" ref="J22:J30" si="8">H22*I22</f>
        <v>#N/A</v>
      </c>
      <c r="K22" s="1">
        <v>2</v>
      </c>
      <c r="L22" s="8" t="e">
        <f>F13</f>
        <v>#N/A</v>
      </c>
      <c r="M22" s="25" t="e">
        <f t="shared" ref="M22:M30" si="9">1/(1+M$20)^$C22</f>
        <v>#VALUE!</v>
      </c>
      <c r="N22" s="14" t="e">
        <f t="shared" ref="N22:N30" si="10">L22*M22</f>
        <v>#N/A</v>
      </c>
    </row>
    <row r="23" spans="2:14" x14ac:dyDescent="0.2">
      <c r="B23" s="1"/>
      <c r="C23" s="1">
        <v>3</v>
      </c>
      <c r="D23" s="8">
        <f>G11</f>
        <v>1214</v>
      </c>
      <c r="E23" s="25" t="e">
        <f t="shared" si="5"/>
        <v>#VALUE!</v>
      </c>
      <c r="F23" s="14" t="e">
        <f t="shared" si="6"/>
        <v>#VALUE!</v>
      </c>
      <c r="G23" s="1">
        <v>3</v>
      </c>
      <c r="H23" s="8" t="e">
        <f>G12</f>
        <v>#N/A</v>
      </c>
      <c r="I23" s="25" t="e">
        <f t="shared" si="7"/>
        <v>#VALUE!</v>
      </c>
      <c r="J23" s="14" t="e">
        <f t="shared" si="8"/>
        <v>#N/A</v>
      </c>
      <c r="K23" s="1">
        <v>3</v>
      </c>
      <c r="L23" s="8" t="e">
        <f>G13</f>
        <v>#N/A</v>
      </c>
      <c r="M23" s="25" t="e">
        <f t="shared" si="9"/>
        <v>#VALUE!</v>
      </c>
      <c r="N23" s="14" t="e">
        <f t="shared" si="10"/>
        <v>#N/A</v>
      </c>
    </row>
    <row r="24" spans="2:14" x14ac:dyDescent="0.2">
      <c r="B24" s="1"/>
      <c r="C24" s="1">
        <v>4</v>
      </c>
      <c r="D24" s="8">
        <f>H11</f>
        <v>1250</v>
      </c>
      <c r="E24" s="25" t="e">
        <f t="shared" si="5"/>
        <v>#VALUE!</v>
      </c>
      <c r="F24" s="14" t="e">
        <f t="shared" si="6"/>
        <v>#VALUE!</v>
      </c>
      <c r="G24" s="1">
        <v>4</v>
      </c>
      <c r="H24" s="8" t="e">
        <f>H12</f>
        <v>#N/A</v>
      </c>
      <c r="I24" s="25" t="e">
        <f t="shared" si="7"/>
        <v>#VALUE!</v>
      </c>
      <c r="J24" s="14" t="e">
        <f t="shared" si="8"/>
        <v>#N/A</v>
      </c>
      <c r="K24" s="1">
        <v>4</v>
      </c>
      <c r="L24" s="8" t="e">
        <f>H13</f>
        <v>#N/A</v>
      </c>
      <c r="M24" s="25" t="e">
        <f t="shared" si="9"/>
        <v>#VALUE!</v>
      </c>
      <c r="N24" s="14" t="e">
        <f t="shared" si="10"/>
        <v>#N/A</v>
      </c>
    </row>
    <row r="25" spans="2:14" x14ac:dyDescent="0.2">
      <c r="B25" s="1"/>
      <c r="C25" s="1">
        <v>5</v>
      </c>
      <c r="D25" s="8">
        <f>I11</f>
        <v>1287.5</v>
      </c>
      <c r="E25" s="25" t="e">
        <f t="shared" si="5"/>
        <v>#VALUE!</v>
      </c>
      <c r="F25" s="14" t="e">
        <f t="shared" si="6"/>
        <v>#VALUE!</v>
      </c>
      <c r="G25" s="1">
        <v>5</v>
      </c>
      <c r="H25" s="8" t="e">
        <f>I12</f>
        <v>#N/A</v>
      </c>
      <c r="I25" s="25" t="e">
        <f t="shared" si="7"/>
        <v>#VALUE!</v>
      </c>
      <c r="J25" s="14" t="e">
        <f t="shared" si="8"/>
        <v>#N/A</v>
      </c>
      <c r="K25" s="1">
        <v>5</v>
      </c>
      <c r="L25" s="8" t="e">
        <f>I13</f>
        <v>#N/A</v>
      </c>
      <c r="M25" s="25" t="e">
        <f t="shared" si="9"/>
        <v>#VALUE!</v>
      </c>
      <c r="N25" s="14" t="e">
        <f t="shared" si="10"/>
        <v>#N/A</v>
      </c>
    </row>
    <row r="26" spans="2:14" x14ac:dyDescent="0.2">
      <c r="B26" s="1"/>
      <c r="C26" s="1">
        <v>6</v>
      </c>
      <c r="D26" s="8">
        <f>J11</f>
        <v>1326.125</v>
      </c>
      <c r="E26" s="25" t="e">
        <f t="shared" si="5"/>
        <v>#VALUE!</v>
      </c>
      <c r="F26" s="14" t="e">
        <f t="shared" si="6"/>
        <v>#VALUE!</v>
      </c>
      <c r="G26" s="1">
        <v>6</v>
      </c>
      <c r="H26" s="8" t="e">
        <f>J12</f>
        <v>#N/A</v>
      </c>
      <c r="I26" s="25" t="e">
        <f t="shared" si="7"/>
        <v>#VALUE!</v>
      </c>
      <c r="J26" s="14" t="e">
        <f t="shared" si="8"/>
        <v>#N/A</v>
      </c>
      <c r="K26" s="1">
        <v>6</v>
      </c>
      <c r="L26" s="8" t="e">
        <f>J13</f>
        <v>#N/A</v>
      </c>
      <c r="M26" s="25" t="e">
        <f t="shared" si="9"/>
        <v>#VALUE!</v>
      </c>
      <c r="N26" s="14" t="e">
        <f t="shared" si="10"/>
        <v>#N/A</v>
      </c>
    </row>
    <row r="27" spans="2:14" x14ac:dyDescent="0.2">
      <c r="B27" s="1"/>
      <c r="C27" s="1">
        <v>7</v>
      </c>
      <c r="D27" s="8">
        <f>K11</f>
        <v>1365.9087500000001</v>
      </c>
      <c r="E27" s="25" t="e">
        <f t="shared" si="5"/>
        <v>#VALUE!</v>
      </c>
      <c r="F27" s="14" t="e">
        <f t="shared" si="6"/>
        <v>#VALUE!</v>
      </c>
      <c r="G27" s="1">
        <v>7</v>
      </c>
      <c r="H27" s="8" t="e">
        <f>K12</f>
        <v>#N/A</v>
      </c>
      <c r="I27" s="25" t="e">
        <f t="shared" si="7"/>
        <v>#VALUE!</v>
      </c>
      <c r="J27" s="14" t="e">
        <f t="shared" si="8"/>
        <v>#N/A</v>
      </c>
      <c r="K27" s="1">
        <v>7</v>
      </c>
      <c r="L27" s="8" t="e">
        <f>K13</f>
        <v>#N/A</v>
      </c>
      <c r="M27" s="25" t="e">
        <f t="shared" si="9"/>
        <v>#VALUE!</v>
      </c>
      <c r="N27" s="14" t="e">
        <f t="shared" si="10"/>
        <v>#N/A</v>
      </c>
    </row>
    <row r="28" spans="2:14" x14ac:dyDescent="0.2">
      <c r="B28" s="1"/>
      <c r="C28" s="1">
        <v>8</v>
      </c>
      <c r="D28" s="8">
        <f>L11</f>
        <v>1406.8860125000001</v>
      </c>
      <c r="E28" s="25" t="e">
        <f t="shared" si="5"/>
        <v>#VALUE!</v>
      </c>
      <c r="F28" s="14" t="e">
        <f t="shared" si="6"/>
        <v>#VALUE!</v>
      </c>
      <c r="G28" s="1">
        <v>8</v>
      </c>
      <c r="H28" s="8" t="e">
        <f>L12</f>
        <v>#N/A</v>
      </c>
      <c r="I28" s="25" t="e">
        <f t="shared" si="7"/>
        <v>#VALUE!</v>
      </c>
      <c r="J28" s="14" t="e">
        <f t="shared" si="8"/>
        <v>#N/A</v>
      </c>
      <c r="K28" s="1">
        <v>8</v>
      </c>
      <c r="L28" s="8" t="e">
        <f>L13</f>
        <v>#N/A</v>
      </c>
      <c r="M28" s="25" t="e">
        <f t="shared" si="9"/>
        <v>#VALUE!</v>
      </c>
      <c r="N28" s="14" t="e">
        <f t="shared" si="10"/>
        <v>#N/A</v>
      </c>
    </row>
    <row r="29" spans="2:14" x14ac:dyDescent="0.2">
      <c r="B29" s="1"/>
      <c r="C29" s="1">
        <v>9</v>
      </c>
      <c r="D29" s="8">
        <f>M11</f>
        <v>1449.092592875</v>
      </c>
      <c r="E29" s="25" t="e">
        <f t="shared" si="5"/>
        <v>#VALUE!</v>
      </c>
      <c r="F29" s="14" t="e">
        <f t="shared" si="6"/>
        <v>#VALUE!</v>
      </c>
      <c r="G29" s="1">
        <v>9</v>
      </c>
      <c r="H29" s="8" t="e">
        <f>M12</f>
        <v>#N/A</v>
      </c>
      <c r="I29" s="25" t="e">
        <f t="shared" si="7"/>
        <v>#VALUE!</v>
      </c>
      <c r="J29" s="14" t="e">
        <f t="shared" si="8"/>
        <v>#N/A</v>
      </c>
      <c r="K29" s="1">
        <v>9</v>
      </c>
      <c r="L29" s="8" t="e">
        <f>M13</f>
        <v>#N/A</v>
      </c>
      <c r="M29" s="25" t="e">
        <f t="shared" si="9"/>
        <v>#VALUE!</v>
      </c>
      <c r="N29" s="14" t="e">
        <f t="shared" si="10"/>
        <v>#N/A</v>
      </c>
    </row>
    <row r="30" spans="2:14" x14ac:dyDescent="0.2">
      <c r="B30" s="1"/>
      <c r="C30" s="19">
        <v>10</v>
      </c>
      <c r="D30" s="26">
        <f>N11</f>
        <v>18061.699390968526</v>
      </c>
      <c r="E30" s="27" t="e">
        <f t="shared" si="5"/>
        <v>#VALUE!</v>
      </c>
      <c r="F30" s="21" t="e">
        <f t="shared" si="6"/>
        <v>#VALUE!</v>
      </c>
      <c r="G30" s="19">
        <v>10</v>
      </c>
      <c r="H30" s="26" t="e">
        <f>N12</f>
        <v>#N/A</v>
      </c>
      <c r="I30" s="27" t="e">
        <f t="shared" si="7"/>
        <v>#VALUE!</v>
      </c>
      <c r="J30" s="21" t="e">
        <f t="shared" si="8"/>
        <v>#N/A</v>
      </c>
      <c r="K30" s="19">
        <v>10</v>
      </c>
      <c r="L30" s="26" t="e">
        <f>N13</f>
        <v>#N/A</v>
      </c>
      <c r="M30" s="27" t="e">
        <f t="shared" si="9"/>
        <v>#VALUE!</v>
      </c>
      <c r="N30" s="21" t="e">
        <f t="shared" si="10"/>
        <v>#N/A</v>
      </c>
    </row>
    <row r="31" spans="2:14" x14ac:dyDescent="0.2">
      <c r="B31" s="1"/>
      <c r="C31" s="1"/>
      <c r="D31" s="1" t="s">
        <v>53</v>
      </c>
      <c r="E31" s="1"/>
      <c r="F31" s="14" t="e">
        <f>SUM(F21:F30)</f>
        <v>#VALUE!</v>
      </c>
      <c r="G31" s="1"/>
      <c r="H31" s="1" t="s">
        <v>59</v>
      </c>
      <c r="I31" s="1"/>
      <c r="J31" s="14" t="e">
        <f>SUM(J21:J30)</f>
        <v>#N/A</v>
      </c>
      <c r="K31" s="1"/>
      <c r="L31" s="1" t="s">
        <v>61</v>
      </c>
      <c r="M31" s="1"/>
      <c r="N31" s="14" t="e">
        <f>SUM(N21:N30)</f>
        <v>#N/A</v>
      </c>
    </row>
    <row r="32" spans="2:14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">
      <c r="B33" s="53" t="s">
        <v>84</v>
      </c>
      <c r="C33" s="1"/>
      <c r="D33" s="1" t="s">
        <v>138</v>
      </c>
      <c r="E33" s="1"/>
      <c r="F33" s="8">
        <f>Calcs!F13</f>
        <v>1492.56537066125</v>
      </c>
      <c r="G33" s="1"/>
      <c r="H33" s="1" t="s">
        <v>68</v>
      </c>
      <c r="I33" s="1"/>
      <c r="J33" s="14" t="e">
        <f>E12</f>
        <v>#N/A</v>
      </c>
      <c r="K33" s="1"/>
      <c r="L33" s="1" t="s">
        <v>67</v>
      </c>
      <c r="M33" s="1"/>
      <c r="N33" s="8" t="e">
        <f>F33-J33</f>
        <v>#N/A</v>
      </c>
    </row>
    <row r="34" spans="2:14" x14ac:dyDescent="0.2">
      <c r="B34" s="1"/>
      <c r="C34" s="1"/>
      <c r="D34" s="11" t="s">
        <v>65</v>
      </c>
      <c r="E34" s="11"/>
      <c r="F34" s="26">
        <f>Calcs!C20</f>
        <v>16569.134020307276</v>
      </c>
      <c r="G34" s="1"/>
      <c r="H34" s="11" t="s">
        <v>66</v>
      </c>
      <c r="I34" s="11"/>
      <c r="J34" s="26" t="e">
        <f>Calcs!C41</f>
        <v>#N/A</v>
      </c>
      <c r="K34" s="1"/>
      <c r="L34" s="11" t="s">
        <v>63</v>
      </c>
      <c r="M34" s="11"/>
      <c r="N34" s="26" t="e">
        <f>F34-J34</f>
        <v>#N/A</v>
      </c>
    </row>
    <row r="35" spans="2:14" x14ac:dyDescent="0.2">
      <c r="B35" s="1"/>
      <c r="C35" s="1"/>
      <c r="D35" s="1"/>
      <c r="E35" s="1"/>
      <c r="F35" s="8"/>
      <c r="G35" s="1"/>
      <c r="H35" s="1"/>
      <c r="I35" s="1"/>
      <c r="J35" s="1"/>
      <c r="K35" s="1"/>
      <c r="L35" s="1"/>
      <c r="M35" s="1"/>
      <c r="N35" s="8"/>
    </row>
    <row r="36" spans="2:14" x14ac:dyDescent="0.2">
      <c r="B36" s="53" t="s">
        <v>81</v>
      </c>
      <c r="C36" s="1"/>
      <c r="D36" s="50" t="str">
        <f>CONCATENATE("Year 11 Cash Flow of $", ROUND(Calcs!F14,0))</f>
        <v>Year 11 Cash Flow of $1537</v>
      </c>
      <c r="E36" s="19"/>
      <c r="F36" s="49"/>
      <c r="G36" s="1"/>
      <c r="H36" s="19" t="s">
        <v>78</v>
      </c>
      <c r="I36" s="19"/>
      <c r="J36" s="49"/>
      <c r="K36" s="1"/>
      <c r="L36" s="50" t="s">
        <v>98</v>
      </c>
      <c r="M36" s="19"/>
      <c r="N36" s="49">
        <f>F39</f>
        <v>16569.134020307276</v>
      </c>
    </row>
    <row r="37" spans="2:14" x14ac:dyDescent="0.2">
      <c r="B37" s="1"/>
      <c r="C37" s="1"/>
      <c r="D37" s="19" t="str">
        <f>CONCATENATE("capitalized at ", Input!E16*100, "% equals")</f>
        <v>capitalized at 9% equals</v>
      </c>
      <c r="E37" s="1"/>
      <c r="F37" s="51">
        <f>Calcs!F14/Input!E16</f>
        <v>17081.581464234307</v>
      </c>
      <c r="G37" s="1"/>
      <c r="H37" s="50" t="s">
        <v>83</v>
      </c>
      <c r="I37" s="19"/>
      <c r="J37" s="49"/>
      <c r="K37" s="1"/>
      <c r="L37" s="52" t="s">
        <v>79</v>
      </c>
      <c r="M37" s="19"/>
      <c r="N37" s="26" t="e">
        <f>J34</f>
        <v>#N/A</v>
      </c>
    </row>
    <row r="38" spans="2:14" x14ac:dyDescent="0.2">
      <c r="B38" s="1"/>
      <c r="C38" s="1"/>
      <c r="D38" s="50" t="s">
        <v>85</v>
      </c>
      <c r="E38" s="19"/>
      <c r="F38" s="26">
        <f>F37*Input!E17</f>
        <v>512.44744392702921</v>
      </c>
      <c r="G38" s="1"/>
      <c r="H38" s="19" t="s">
        <v>82</v>
      </c>
      <c r="I38" s="19"/>
      <c r="J38" s="49"/>
      <c r="K38" s="1"/>
      <c r="L38" s="19" t="s">
        <v>80</v>
      </c>
      <c r="M38" s="19"/>
      <c r="N38" s="49" t="e">
        <f>N36-N37</f>
        <v>#N/A</v>
      </c>
    </row>
    <row r="39" spans="2:14" x14ac:dyDescent="0.2">
      <c r="B39" s="1"/>
      <c r="C39" s="1"/>
      <c r="D39" s="50" t="s">
        <v>86</v>
      </c>
      <c r="E39" s="19"/>
      <c r="F39" s="49">
        <f>F37-F38</f>
        <v>16569.134020307276</v>
      </c>
      <c r="G39" s="1"/>
      <c r="H39" s="19"/>
      <c r="I39" s="19"/>
      <c r="J39" s="49"/>
      <c r="K39" s="1"/>
      <c r="L39" s="19"/>
      <c r="M39" s="19"/>
      <c r="N39" s="49"/>
    </row>
    <row r="40" spans="2:14" x14ac:dyDescent="0.2">
      <c r="J40" s="66" t="s">
        <v>153</v>
      </c>
    </row>
  </sheetData>
  <mergeCells count="4">
    <mergeCell ref="D18:F18"/>
    <mergeCell ref="H18:J18"/>
    <mergeCell ref="L18:N18"/>
    <mergeCell ref="H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39"/>
  <sheetViews>
    <sheetView showGridLines="0" workbookViewId="0">
      <selection sqref="A1:XFD1"/>
    </sheetView>
  </sheetViews>
  <sheetFormatPr defaultColWidth="8.85546875" defaultRowHeight="12.75" x14ac:dyDescent="0.2"/>
  <cols>
    <col min="1" max="1" width="3.7109375" customWidth="1"/>
    <col min="2" max="2" width="27.7109375" customWidth="1"/>
    <col min="3" max="3" width="5.7109375" customWidth="1"/>
    <col min="4" max="14" width="10.7109375" customWidth="1"/>
  </cols>
  <sheetData>
    <row r="1" spans="2:14" ht="15.75" x14ac:dyDescent="0.25">
      <c r="B1" s="16" t="s">
        <v>137</v>
      </c>
    </row>
    <row r="3" spans="2:14" x14ac:dyDescent="0.2">
      <c r="B3" s="78" t="s">
        <v>143</v>
      </c>
      <c r="C3" s="78"/>
      <c r="D3" s="78"/>
      <c r="E3" s="78"/>
      <c r="F3" s="79" t="s">
        <v>142</v>
      </c>
      <c r="G3" s="1"/>
      <c r="H3" s="129" t="s">
        <v>134</v>
      </c>
      <c r="I3" s="129"/>
      <c r="J3" s="129"/>
      <c r="K3" s="129"/>
      <c r="M3" s="1"/>
      <c r="N3" s="1"/>
    </row>
    <row r="4" spans="2:14" x14ac:dyDescent="0.2">
      <c r="B4" s="81" t="str">
        <f>Input!D4</f>
        <v>Sample Inn</v>
      </c>
      <c r="C4" s="81"/>
      <c r="D4" s="80" t="s">
        <v>47</v>
      </c>
      <c r="E4" s="101" t="s">
        <v>48</v>
      </c>
      <c r="F4" s="101" t="s">
        <v>141</v>
      </c>
      <c r="G4" s="1"/>
      <c r="H4" s="119" t="s">
        <v>129</v>
      </c>
      <c r="I4" s="119"/>
      <c r="J4" s="119"/>
      <c r="K4" s="70" t="e">
        <f>(F37/D5)-1</f>
        <v>#N/A</v>
      </c>
      <c r="M4" s="1"/>
      <c r="N4" s="1"/>
    </row>
    <row r="5" spans="2:14" x14ac:dyDescent="0.2">
      <c r="B5" s="119" t="s">
        <v>6</v>
      </c>
      <c r="C5" s="1"/>
      <c r="D5" s="14" t="e">
        <f>Calcs!C61</f>
        <v>#N/A</v>
      </c>
      <c r="E5" s="20" t="e">
        <f>IRR(D11:N11,0.1)</f>
        <v>#VALUE!</v>
      </c>
      <c r="F5" s="14" t="e">
        <f>D5/Input!$E$11*1000</f>
        <v>#N/A</v>
      </c>
      <c r="G5" s="1"/>
      <c r="H5" s="119" t="s">
        <v>130</v>
      </c>
      <c r="I5" s="119"/>
      <c r="J5" s="119"/>
      <c r="K5" s="20" t="e">
        <f>RATE(10,,D5,-F37)</f>
        <v>#N/A</v>
      </c>
      <c r="M5" s="1"/>
      <c r="N5" s="1"/>
    </row>
    <row r="6" spans="2:14" x14ac:dyDescent="0.2">
      <c r="B6" s="119" t="s">
        <v>43</v>
      </c>
      <c r="C6" s="1"/>
      <c r="D6" s="14" t="e">
        <f>Calcs!C62</f>
        <v>#N/A</v>
      </c>
      <c r="E6" s="20" t="e">
        <f>Input!E15*RATE(10*Input!E15,E12/Input!E15,D12,Calcs!C41)</f>
        <v>#N/A</v>
      </c>
      <c r="F6" s="14" t="e">
        <f>D6/Input!$E$11*1000</f>
        <v>#N/A</v>
      </c>
      <c r="G6" s="1"/>
      <c r="H6" s="119" t="s">
        <v>131</v>
      </c>
      <c r="I6" s="119"/>
      <c r="J6" s="119"/>
      <c r="K6" s="72" t="e">
        <f>1-K7</f>
        <v>#VALUE!</v>
      </c>
      <c r="M6" s="1"/>
      <c r="N6" s="1"/>
    </row>
    <row r="7" spans="2:14" x14ac:dyDescent="0.2">
      <c r="B7" s="121" t="s">
        <v>49</v>
      </c>
      <c r="C7" s="11"/>
      <c r="D7" s="21" t="e">
        <f>D5-D6</f>
        <v>#N/A</v>
      </c>
      <c r="E7" s="22" t="e">
        <f>IRR(D13:N13,0.1)</f>
        <v>#VALUE!</v>
      </c>
      <c r="F7" s="21" t="e">
        <f>D7/Input!$E$11*1000</f>
        <v>#N/A</v>
      </c>
      <c r="G7" s="1"/>
      <c r="H7" s="119" t="s">
        <v>132</v>
      </c>
      <c r="I7" s="119"/>
      <c r="J7" s="119"/>
      <c r="K7" s="20" t="e">
        <f>((F39/(1+E5)^10)/D5)</f>
        <v>#VALUE!</v>
      </c>
      <c r="M7" s="1"/>
      <c r="N7" s="1"/>
    </row>
    <row r="8" spans="2:14" x14ac:dyDescent="0.2">
      <c r="B8" s="51"/>
      <c r="C8" s="19"/>
      <c r="D8" s="51"/>
      <c r="E8" s="19"/>
      <c r="F8" s="71"/>
      <c r="G8" s="1"/>
      <c r="H8" s="121" t="s">
        <v>133</v>
      </c>
      <c r="I8" s="121"/>
      <c r="J8" s="121"/>
      <c r="K8" s="73" t="e">
        <f>Input!E19*(1/(1+Input!E20)^(Input!E18-1))/D5</f>
        <v>#N/A</v>
      </c>
      <c r="M8" s="1"/>
      <c r="N8" s="1"/>
    </row>
    <row r="9" spans="2:1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x14ac:dyDescent="0.2">
      <c r="B10" s="128" t="s">
        <v>69</v>
      </c>
      <c r="C10" s="3" t="s">
        <v>15</v>
      </c>
      <c r="D10" s="102">
        <f>Input!E10</f>
        <v>2016</v>
      </c>
      <c r="E10" s="102">
        <f>D10+1</f>
        <v>2017</v>
      </c>
      <c r="F10" s="102">
        <f t="shared" ref="F10:N10" si="0">E10+1</f>
        <v>2018</v>
      </c>
      <c r="G10" s="102">
        <f t="shared" si="0"/>
        <v>2019</v>
      </c>
      <c r="H10" s="102">
        <f t="shared" si="0"/>
        <v>2020</v>
      </c>
      <c r="I10" s="102">
        <f t="shared" si="0"/>
        <v>2021</v>
      </c>
      <c r="J10" s="102">
        <f t="shared" si="0"/>
        <v>2022</v>
      </c>
      <c r="K10" s="102">
        <f t="shared" si="0"/>
        <v>2023</v>
      </c>
      <c r="L10" s="102">
        <f t="shared" si="0"/>
        <v>2024</v>
      </c>
      <c r="M10" s="102">
        <f t="shared" si="0"/>
        <v>2025</v>
      </c>
      <c r="N10" s="102">
        <f t="shared" si="0"/>
        <v>2026</v>
      </c>
    </row>
    <row r="11" spans="2:14" x14ac:dyDescent="0.2">
      <c r="B11" s="120" t="s">
        <v>46</v>
      </c>
      <c r="C11" s="1"/>
      <c r="D11" s="14" t="e">
        <f>-D5</f>
        <v>#N/A</v>
      </c>
      <c r="E11" s="8">
        <f>Calcs!F4</f>
        <v>1174</v>
      </c>
      <c r="F11" s="8">
        <f>Calcs!F5</f>
        <v>1210</v>
      </c>
      <c r="G11" s="8">
        <f>Calcs!F6</f>
        <v>1214</v>
      </c>
      <c r="H11" s="8">
        <f>Calcs!F7</f>
        <v>1250</v>
      </c>
      <c r="I11" s="8">
        <f>Calcs!F8</f>
        <v>1287.5</v>
      </c>
      <c r="J11" s="8">
        <f>Calcs!F9</f>
        <v>1326.125</v>
      </c>
      <c r="K11" s="8">
        <f>Calcs!F10</f>
        <v>1365.9087500000001</v>
      </c>
      <c r="L11" s="8">
        <f>Calcs!F11</f>
        <v>1406.8860125000001</v>
      </c>
      <c r="M11" s="8">
        <f>Calcs!F12</f>
        <v>1449.092592875</v>
      </c>
      <c r="N11" s="8">
        <f>Calcs!F13+(Calcs!F14/Input!E16)*(1-Input!E17)</f>
        <v>18061.699390968526</v>
      </c>
    </row>
    <row r="12" spans="2:14" x14ac:dyDescent="0.2">
      <c r="B12" s="119" t="s">
        <v>44</v>
      </c>
      <c r="C12" s="1"/>
      <c r="D12" s="14" t="e">
        <f>-D6</f>
        <v>#N/A</v>
      </c>
      <c r="E12" s="14" t="e">
        <f>Calcs!$C$62*Calcs!$C$54</f>
        <v>#N/A</v>
      </c>
      <c r="F12" s="14" t="e">
        <f>Calcs!$C$62*Calcs!$C$54</f>
        <v>#N/A</v>
      </c>
      <c r="G12" s="14" t="e">
        <f>Calcs!$C$62*Calcs!$C$54</f>
        <v>#N/A</v>
      </c>
      <c r="H12" s="14" t="e">
        <f>Calcs!$C$62*Calcs!$C$54</f>
        <v>#N/A</v>
      </c>
      <c r="I12" s="14" t="e">
        <f>Calcs!$C$62*Calcs!$C$54</f>
        <v>#N/A</v>
      </c>
      <c r="J12" s="14" t="e">
        <f>Calcs!$C$62*Calcs!$C$54</f>
        <v>#N/A</v>
      </c>
      <c r="K12" s="14" t="e">
        <f>Calcs!$C$62*Calcs!$C$54</f>
        <v>#N/A</v>
      </c>
      <c r="L12" s="14" t="e">
        <f>Calcs!$C$62*Calcs!$C$54</f>
        <v>#N/A</v>
      </c>
      <c r="M12" s="14" t="e">
        <f>Calcs!$C$62*Calcs!$C$54</f>
        <v>#N/A</v>
      </c>
      <c r="N12" s="14" t="e">
        <f>(Calcs!$C$62*Calcs!$C$54)+Calcs!C57</f>
        <v>#N/A</v>
      </c>
    </row>
    <row r="13" spans="2:14" x14ac:dyDescent="0.2">
      <c r="B13" s="121" t="s">
        <v>45</v>
      </c>
      <c r="C13" s="1"/>
      <c r="D13" s="14" t="e">
        <f>-D7</f>
        <v>#N/A</v>
      </c>
      <c r="E13" s="8" t="e">
        <f>E11-E12</f>
        <v>#N/A</v>
      </c>
      <c r="F13" s="8" t="e">
        <f t="shared" ref="F13:N13" si="1">F11-F12</f>
        <v>#N/A</v>
      </c>
      <c r="G13" s="8" t="e">
        <f t="shared" si="1"/>
        <v>#N/A</v>
      </c>
      <c r="H13" s="8" t="e">
        <f t="shared" si="1"/>
        <v>#N/A</v>
      </c>
      <c r="I13" s="8" t="e">
        <f t="shared" si="1"/>
        <v>#N/A</v>
      </c>
      <c r="J13" s="8" t="e">
        <f t="shared" si="1"/>
        <v>#N/A</v>
      </c>
      <c r="K13" s="8" t="e">
        <f t="shared" si="1"/>
        <v>#N/A</v>
      </c>
      <c r="L13" s="8" t="e">
        <f t="shared" si="1"/>
        <v>#N/A</v>
      </c>
      <c r="M13" s="8" t="e">
        <f t="shared" si="1"/>
        <v>#N/A</v>
      </c>
      <c r="N13" s="8" t="e">
        <f t="shared" si="1"/>
        <v>#N/A</v>
      </c>
    </row>
    <row r="14" spans="2:14" x14ac:dyDescent="0.2">
      <c r="B14" s="122" t="s">
        <v>28</v>
      </c>
      <c r="C14" s="37"/>
      <c r="D14" s="97"/>
      <c r="E14" s="98" t="e">
        <f>E11/E12</f>
        <v>#N/A</v>
      </c>
      <c r="F14" s="98" t="e">
        <f>F11/F12</f>
        <v>#N/A</v>
      </c>
      <c r="G14" s="98" t="e">
        <f>G11/G12</f>
        <v>#N/A</v>
      </c>
      <c r="H14" s="98" t="e">
        <f t="shared" ref="H14:M14" si="2">H11/H12</f>
        <v>#N/A</v>
      </c>
      <c r="I14" s="98" t="e">
        <f t="shared" si="2"/>
        <v>#N/A</v>
      </c>
      <c r="J14" s="98" t="e">
        <f t="shared" si="2"/>
        <v>#N/A</v>
      </c>
      <c r="K14" s="98" t="e">
        <f t="shared" si="2"/>
        <v>#N/A</v>
      </c>
      <c r="L14" s="98" t="e">
        <f t="shared" si="2"/>
        <v>#N/A</v>
      </c>
      <c r="M14" s="98" t="e">
        <f t="shared" si="2"/>
        <v>#N/A</v>
      </c>
      <c r="N14" s="98">
        <f>Calcs!F27/'Output-LTV'!J33</f>
        <v>2.0599097298503923</v>
      </c>
    </row>
    <row r="15" spans="2:14" x14ac:dyDescent="0.2">
      <c r="B15" s="123" t="s">
        <v>118</v>
      </c>
      <c r="C15" s="19"/>
      <c r="D15" s="51"/>
      <c r="E15" s="99" t="e">
        <f>E11/$D$6</f>
        <v>#N/A</v>
      </c>
      <c r="F15" s="99" t="e">
        <f t="shared" ref="F15:M15" si="3">F11/$D$6</f>
        <v>#N/A</v>
      </c>
      <c r="G15" s="99" t="e">
        <f t="shared" si="3"/>
        <v>#N/A</v>
      </c>
      <c r="H15" s="99" t="e">
        <f t="shared" si="3"/>
        <v>#N/A</v>
      </c>
      <c r="I15" s="99" t="e">
        <f t="shared" si="3"/>
        <v>#N/A</v>
      </c>
      <c r="J15" s="99" t="e">
        <f t="shared" si="3"/>
        <v>#N/A</v>
      </c>
      <c r="K15" s="99" t="e">
        <f t="shared" si="3"/>
        <v>#N/A</v>
      </c>
      <c r="L15" s="99" t="e">
        <f t="shared" si="3"/>
        <v>#N/A</v>
      </c>
      <c r="M15" s="99" t="e">
        <f t="shared" si="3"/>
        <v>#N/A</v>
      </c>
      <c r="N15" s="99" t="e">
        <f>(N11-F39)/$D$6</f>
        <v>#N/A</v>
      </c>
    </row>
    <row r="16" spans="2:14" x14ac:dyDescent="0.2">
      <c r="B16" s="124" t="s">
        <v>152</v>
      </c>
      <c r="C16" s="11"/>
      <c r="D16" s="21"/>
      <c r="E16" s="73" t="e">
        <f>E13/$D$7</f>
        <v>#N/A</v>
      </c>
      <c r="F16" s="73" t="e">
        <f t="shared" ref="F16:M16" si="4">F13/$D$7</f>
        <v>#N/A</v>
      </c>
      <c r="G16" s="73" t="e">
        <f t="shared" si="4"/>
        <v>#N/A</v>
      </c>
      <c r="H16" s="73" t="e">
        <f t="shared" si="4"/>
        <v>#N/A</v>
      </c>
      <c r="I16" s="73" t="e">
        <f t="shared" si="4"/>
        <v>#N/A</v>
      </c>
      <c r="J16" s="73" t="e">
        <f t="shared" si="4"/>
        <v>#N/A</v>
      </c>
      <c r="K16" s="73" t="e">
        <f t="shared" si="4"/>
        <v>#N/A</v>
      </c>
      <c r="L16" s="73" t="e">
        <f t="shared" si="4"/>
        <v>#N/A</v>
      </c>
      <c r="M16" s="73" t="e">
        <f t="shared" si="4"/>
        <v>#N/A</v>
      </c>
      <c r="N16" s="73" t="e">
        <f>(N13-N38)/$D$7</f>
        <v>#N/A</v>
      </c>
    </row>
    <row r="17" spans="2:14" x14ac:dyDescent="0.2">
      <c r="B17" s="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2">
      <c r="B18" s="4" t="s">
        <v>54</v>
      </c>
      <c r="C18" s="1"/>
      <c r="D18" s="130" t="s">
        <v>55</v>
      </c>
      <c r="E18" s="130"/>
      <c r="F18" s="130"/>
      <c r="G18" s="1"/>
      <c r="H18" s="130" t="s">
        <v>56</v>
      </c>
      <c r="I18" s="130"/>
      <c r="J18" s="130"/>
      <c r="K18" s="1"/>
      <c r="L18" s="130" t="s">
        <v>57</v>
      </c>
      <c r="M18" s="130"/>
      <c r="N18" s="130"/>
    </row>
    <row r="19" spans="2:14" x14ac:dyDescent="0.2">
      <c r="B19" s="1"/>
      <c r="C19" s="1"/>
      <c r="D19" s="4" t="s">
        <v>34</v>
      </c>
      <c r="E19" s="4" t="s">
        <v>50</v>
      </c>
      <c r="F19" s="4" t="s">
        <v>51</v>
      </c>
      <c r="G19" s="1"/>
      <c r="H19" s="4" t="s">
        <v>44</v>
      </c>
      <c r="I19" s="4" t="s">
        <v>50</v>
      </c>
      <c r="J19" s="4" t="s">
        <v>51</v>
      </c>
      <c r="K19" s="1"/>
      <c r="L19" s="4" t="s">
        <v>34</v>
      </c>
      <c r="M19" s="4" t="s">
        <v>50</v>
      </c>
      <c r="N19" s="4" t="s">
        <v>51</v>
      </c>
    </row>
    <row r="20" spans="2:14" x14ac:dyDescent="0.2">
      <c r="B20" s="28"/>
      <c r="C20" s="11" t="s">
        <v>15</v>
      </c>
      <c r="D20" s="3" t="s">
        <v>62</v>
      </c>
      <c r="E20" s="23" t="e">
        <f>E5</f>
        <v>#VALUE!</v>
      </c>
      <c r="F20" s="3" t="s">
        <v>52</v>
      </c>
      <c r="G20" s="24" t="s">
        <v>15</v>
      </c>
      <c r="H20" s="3" t="s">
        <v>58</v>
      </c>
      <c r="I20" s="23" t="e">
        <f>IRR(D12:N12,0.1)</f>
        <v>#VALUE!</v>
      </c>
      <c r="J20" s="3" t="s">
        <v>52</v>
      </c>
      <c r="K20" s="24" t="s">
        <v>15</v>
      </c>
      <c r="L20" s="3" t="s">
        <v>60</v>
      </c>
      <c r="M20" s="23" t="e">
        <f>E7</f>
        <v>#VALUE!</v>
      </c>
      <c r="N20" s="3" t="s">
        <v>52</v>
      </c>
    </row>
    <row r="21" spans="2:14" x14ac:dyDescent="0.2">
      <c r="B21" s="1"/>
      <c r="C21" s="1">
        <v>1</v>
      </c>
      <c r="D21" s="8">
        <f>E11</f>
        <v>1174</v>
      </c>
      <c r="E21" s="25" t="e">
        <f>1/(1+E$20)^$C21</f>
        <v>#VALUE!</v>
      </c>
      <c r="F21" s="14" t="e">
        <f>D21*E21</f>
        <v>#VALUE!</v>
      </c>
      <c r="G21" s="1">
        <v>1</v>
      </c>
      <c r="H21" s="8" t="e">
        <f>E12</f>
        <v>#N/A</v>
      </c>
      <c r="I21" s="25" t="e">
        <f>1/(1+I$20)^$C21</f>
        <v>#VALUE!</v>
      </c>
      <c r="J21" s="14" t="e">
        <f>H21*I21</f>
        <v>#N/A</v>
      </c>
      <c r="K21" s="1">
        <v>1</v>
      </c>
      <c r="L21" s="8" t="e">
        <f>E13</f>
        <v>#N/A</v>
      </c>
      <c r="M21" s="25" t="e">
        <f>1/(1+M$20)^$C21</f>
        <v>#VALUE!</v>
      </c>
      <c r="N21" s="14" t="e">
        <f>L21*M21</f>
        <v>#N/A</v>
      </c>
    </row>
    <row r="22" spans="2:14" x14ac:dyDescent="0.2">
      <c r="B22" s="1"/>
      <c r="C22" s="1">
        <v>2</v>
      </c>
      <c r="D22" s="8">
        <f>F11</f>
        <v>1210</v>
      </c>
      <c r="E22" s="25" t="e">
        <f t="shared" ref="E22:E30" si="5">1/(1+E$20)^$C22</f>
        <v>#VALUE!</v>
      </c>
      <c r="F22" s="14" t="e">
        <f t="shared" ref="F22:F30" si="6">D22*E22</f>
        <v>#VALUE!</v>
      </c>
      <c r="G22" s="1">
        <v>2</v>
      </c>
      <c r="H22" s="8" t="e">
        <f>F12</f>
        <v>#N/A</v>
      </c>
      <c r="I22" s="25" t="e">
        <f t="shared" ref="I22:I30" si="7">1/(1+I$20)^$C22</f>
        <v>#VALUE!</v>
      </c>
      <c r="J22" s="14" t="e">
        <f t="shared" ref="J22:J30" si="8">H22*I22</f>
        <v>#N/A</v>
      </c>
      <c r="K22" s="1">
        <v>2</v>
      </c>
      <c r="L22" s="8" t="e">
        <f>F13</f>
        <v>#N/A</v>
      </c>
      <c r="M22" s="25" t="e">
        <f t="shared" ref="M22:M30" si="9">1/(1+M$20)^$C22</f>
        <v>#VALUE!</v>
      </c>
      <c r="N22" s="14" t="e">
        <f t="shared" ref="N22:N30" si="10">L22*M22</f>
        <v>#N/A</v>
      </c>
    </row>
    <row r="23" spans="2:14" x14ac:dyDescent="0.2">
      <c r="B23" s="1"/>
      <c r="C23" s="1">
        <v>3</v>
      </c>
      <c r="D23" s="8">
        <f>G11</f>
        <v>1214</v>
      </c>
      <c r="E23" s="25" t="e">
        <f t="shared" si="5"/>
        <v>#VALUE!</v>
      </c>
      <c r="F23" s="14" t="e">
        <f t="shared" si="6"/>
        <v>#VALUE!</v>
      </c>
      <c r="G23" s="1">
        <v>3</v>
      </c>
      <c r="H23" s="8" t="e">
        <f>G12</f>
        <v>#N/A</v>
      </c>
      <c r="I23" s="25" t="e">
        <f t="shared" si="7"/>
        <v>#VALUE!</v>
      </c>
      <c r="J23" s="14" t="e">
        <f t="shared" si="8"/>
        <v>#N/A</v>
      </c>
      <c r="K23" s="1">
        <v>3</v>
      </c>
      <c r="L23" s="8" t="e">
        <f>G13</f>
        <v>#N/A</v>
      </c>
      <c r="M23" s="25" t="e">
        <f t="shared" si="9"/>
        <v>#VALUE!</v>
      </c>
      <c r="N23" s="14" t="e">
        <f t="shared" si="10"/>
        <v>#N/A</v>
      </c>
    </row>
    <row r="24" spans="2:14" x14ac:dyDescent="0.2">
      <c r="B24" s="1"/>
      <c r="C24" s="1">
        <v>4</v>
      </c>
      <c r="D24" s="8">
        <f>H11</f>
        <v>1250</v>
      </c>
      <c r="E24" s="25" t="e">
        <f t="shared" si="5"/>
        <v>#VALUE!</v>
      </c>
      <c r="F24" s="14" t="e">
        <f t="shared" si="6"/>
        <v>#VALUE!</v>
      </c>
      <c r="G24" s="1">
        <v>4</v>
      </c>
      <c r="H24" s="8" t="e">
        <f>H12</f>
        <v>#N/A</v>
      </c>
      <c r="I24" s="25" t="e">
        <f t="shared" si="7"/>
        <v>#VALUE!</v>
      </c>
      <c r="J24" s="14" t="e">
        <f t="shared" si="8"/>
        <v>#N/A</v>
      </c>
      <c r="K24" s="1">
        <v>4</v>
      </c>
      <c r="L24" s="8" t="e">
        <f>H13</f>
        <v>#N/A</v>
      </c>
      <c r="M24" s="25" t="e">
        <f t="shared" si="9"/>
        <v>#VALUE!</v>
      </c>
      <c r="N24" s="14" t="e">
        <f t="shared" si="10"/>
        <v>#N/A</v>
      </c>
    </row>
    <row r="25" spans="2:14" x14ac:dyDescent="0.2">
      <c r="B25" s="1"/>
      <c r="C25" s="1">
        <v>5</v>
      </c>
      <c r="D25" s="8">
        <f>I11</f>
        <v>1287.5</v>
      </c>
      <c r="E25" s="25" t="e">
        <f t="shared" si="5"/>
        <v>#VALUE!</v>
      </c>
      <c r="F25" s="14" t="e">
        <f t="shared" si="6"/>
        <v>#VALUE!</v>
      </c>
      <c r="G25" s="1">
        <v>5</v>
      </c>
      <c r="H25" s="8" t="e">
        <f>I12</f>
        <v>#N/A</v>
      </c>
      <c r="I25" s="25" t="e">
        <f t="shared" si="7"/>
        <v>#VALUE!</v>
      </c>
      <c r="J25" s="14" t="e">
        <f t="shared" si="8"/>
        <v>#N/A</v>
      </c>
      <c r="K25" s="1">
        <v>5</v>
      </c>
      <c r="L25" s="8" t="e">
        <f>I13</f>
        <v>#N/A</v>
      </c>
      <c r="M25" s="25" t="e">
        <f t="shared" si="9"/>
        <v>#VALUE!</v>
      </c>
      <c r="N25" s="14" t="e">
        <f t="shared" si="10"/>
        <v>#N/A</v>
      </c>
    </row>
    <row r="26" spans="2:14" x14ac:dyDescent="0.2">
      <c r="B26" s="1"/>
      <c r="C26" s="1">
        <v>6</v>
      </c>
      <c r="D26" s="8">
        <f>J11</f>
        <v>1326.125</v>
      </c>
      <c r="E26" s="25" t="e">
        <f t="shared" si="5"/>
        <v>#VALUE!</v>
      </c>
      <c r="F26" s="14" t="e">
        <f t="shared" si="6"/>
        <v>#VALUE!</v>
      </c>
      <c r="G26" s="1">
        <v>6</v>
      </c>
      <c r="H26" s="8" t="e">
        <f>J12</f>
        <v>#N/A</v>
      </c>
      <c r="I26" s="25" t="e">
        <f t="shared" si="7"/>
        <v>#VALUE!</v>
      </c>
      <c r="J26" s="14" t="e">
        <f t="shared" si="8"/>
        <v>#N/A</v>
      </c>
      <c r="K26" s="1">
        <v>6</v>
      </c>
      <c r="L26" s="8" t="e">
        <f>J13</f>
        <v>#N/A</v>
      </c>
      <c r="M26" s="25" t="e">
        <f t="shared" si="9"/>
        <v>#VALUE!</v>
      </c>
      <c r="N26" s="14" t="e">
        <f t="shared" si="10"/>
        <v>#N/A</v>
      </c>
    </row>
    <row r="27" spans="2:14" x14ac:dyDescent="0.2">
      <c r="B27" s="1"/>
      <c r="C27" s="1">
        <v>7</v>
      </c>
      <c r="D27" s="8">
        <f>K11</f>
        <v>1365.9087500000001</v>
      </c>
      <c r="E27" s="25" t="e">
        <f t="shared" si="5"/>
        <v>#VALUE!</v>
      </c>
      <c r="F27" s="14" t="e">
        <f t="shared" si="6"/>
        <v>#VALUE!</v>
      </c>
      <c r="G27" s="1">
        <v>7</v>
      </c>
      <c r="H27" s="8" t="e">
        <f>K12</f>
        <v>#N/A</v>
      </c>
      <c r="I27" s="25" t="e">
        <f t="shared" si="7"/>
        <v>#VALUE!</v>
      </c>
      <c r="J27" s="14" t="e">
        <f t="shared" si="8"/>
        <v>#N/A</v>
      </c>
      <c r="K27" s="1">
        <v>7</v>
      </c>
      <c r="L27" s="8" t="e">
        <f>K13</f>
        <v>#N/A</v>
      </c>
      <c r="M27" s="25" t="e">
        <f t="shared" si="9"/>
        <v>#VALUE!</v>
      </c>
      <c r="N27" s="14" t="e">
        <f t="shared" si="10"/>
        <v>#N/A</v>
      </c>
    </row>
    <row r="28" spans="2:14" x14ac:dyDescent="0.2">
      <c r="B28" s="1"/>
      <c r="C28" s="1">
        <v>8</v>
      </c>
      <c r="D28" s="8">
        <f>L11</f>
        <v>1406.8860125000001</v>
      </c>
      <c r="E28" s="25" t="e">
        <f t="shared" si="5"/>
        <v>#VALUE!</v>
      </c>
      <c r="F28" s="14" t="e">
        <f t="shared" si="6"/>
        <v>#VALUE!</v>
      </c>
      <c r="G28" s="1">
        <v>8</v>
      </c>
      <c r="H28" s="8" t="e">
        <f>L12</f>
        <v>#N/A</v>
      </c>
      <c r="I28" s="25" t="e">
        <f t="shared" si="7"/>
        <v>#VALUE!</v>
      </c>
      <c r="J28" s="14" t="e">
        <f t="shared" si="8"/>
        <v>#N/A</v>
      </c>
      <c r="K28" s="1">
        <v>8</v>
      </c>
      <c r="L28" s="8" t="e">
        <f>L13</f>
        <v>#N/A</v>
      </c>
      <c r="M28" s="25" t="e">
        <f t="shared" si="9"/>
        <v>#VALUE!</v>
      </c>
      <c r="N28" s="14" t="e">
        <f t="shared" si="10"/>
        <v>#N/A</v>
      </c>
    </row>
    <row r="29" spans="2:14" x14ac:dyDescent="0.2">
      <c r="B29" s="1"/>
      <c r="C29" s="1">
        <v>9</v>
      </c>
      <c r="D29" s="8">
        <f>M11</f>
        <v>1449.092592875</v>
      </c>
      <c r="E29" s="25" t="e">
        <f t="shared" si="5"/>
        <v>#VALUE!</v>
      </c>
      <c r="F29" s="14" t="e">
        <f t="shared" si="6"/>
        <v>#VALUE!</v>
      </c>
      <c r="G29" s="1">
        <v>9</v>
      </c>
      <c r="H29" s="8" t="e">
        <f>M12</f>
        <v>#N/A</v>
      </c>
      <c r="I29" s="25" t="e">
        <f t="shared" si="7"/>
        <v>#VALUE!</v>
      </c>
      <c r="J29" s="14" t="e">
        <f t="shared" si="8"/>
        <v>#N/A</v>
      </c>
      <c r="K29" s="1">
        <v>9</v>
      </c>
      <c r="L29" s="8" t="e">
        <f>M13</f>
        <v>#N/A</v>
      </c>
      <c r="M29" s="25" t="e">
        <f t="shared" si="9"/>
        <v>#VALUE!</v>
      </c>
      <c r="N29" s="14" t="e">
        <f t="shared" si="10"/>
        <v>#N/A</v>
      </c>
    </row>
    <row r="30" spans="2:14" x14ac:dyDescent="0.2">
      <c r="B30" s="1"/>
      <c r="C30" s="19">
        <v>10</v>
      </c>
      <c r="D30" s="26">
        <f>N11</f>
        <v>18061.699390968526</v>
      </c>
      <c r="E30" s="27" t="e">
        <f t="shared" si="5"/>
        <v>#VALUE!</v>
      </c>
      <c r="F30" s="21" t="e">
        <f t="shared" si="6"/>
        <v>#VALUE!</v>
      </c>
      <c r="G30" s="19">
        <v>10</v>
      </c>
      <c r="H30" s="26" t="e">
        <f>N12</f>
        <v>#N/A</v>
      </c>
      <c r="I30" s="27" t="e">
        <f t="shared" si="7"/>
        <v>#VALUE!</v>
      </c>
      <c r="J30" s="21" t="e">
        <f t="shared" si="8"/>
        <v>#N/A</v>
      </c>
      <c r="K30" s="19">
        <v>10</v>
      </c>
      <c r="L30" s="26" t="e">
        <f>N13</f>
        <v>#N/A</v>
      </c>
      <c r="M30" s="27" t="e">
        <f t="shared" si="9"/>
        <v>#VALUE!</v>
      </c>
      <c r="N30" s="21" t="e">
        <f t="shared" si="10"/>
        <v>#N/A</v>
      </c>
    </row>
    <row r="31" spans="2:14" x14ac:dyDescent="0.2">
      <c r="B31" s="1"/>
      <c r="C31" s="1"/>
      <c r="D31" s="1" t="s">
        <v>53</v>
      </c>
      <c r="E31" s="1"/>
      <c r="F31" s="14" t="e">
        <f>SUM(F21:F30)</f>
        <v>#VALUE!</v>
      </c>
      <c r="G31" s="1"/>
      <c r="H31" s="1" t="s">
        <v>59</v>
      </c>
      <c r="I31" s="1"/>
      <c r="J31" s="14" t="e">
        <f>SUM(J21:J30)</f>
        <v>#N/A</v>
      </c>
      <c r="K31" s="1"/>
      <c r="L31" s="1" t="s">
        <v>61</v>
      </c>
      <c r="M31" s="1"/>
      <c r="N31" s="14" t="e">
        <f>SUM(N21:N30)</f>
        <v>#N/A</v>
      </c>
    </row>
    <row r="32" spans="2:14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">
      <c r="B33" s="53" t="s">
        <v>84</v>
      </c>
      <c r="C33" s="1"/>
      <c r="D33" s="1" t="s">
        <v>138</v>
      </c>
      <c r="E33" s="1"/>
      <c r="F33" s="8">
        <f>Calcs!F13</f>
        <v>1492.56537066125</v>
      </c>
      <c r="G33" s="1"/>
      <c r="H33" s="1" t="s">
        <v>68</v>
      </c>
      <c r="I33" s="1"/>
      <c r="J33" s="14" t="e">
        <f>E12</f>
        <v>#N/A</v>
      </c>
      <c r="K33" s="1"/>
      <c r="L33" s="1" t="s">
        <v>67</v>
      </c>
      <c r="M33" s="1"/>
      <c r="N33" s="8" t="e">
        <f>F33-J33</f>
        <v>#N/A</v>
      </c>
    </row>
    <row r="34" spans="2:14" x14ac:dyDescent="0.2">
      <c r="B34" s="1"/>
      <c r="C34" s="1"/>
      <c r="D34" s="11" t="s">
        <v>65</v>
      </c>
      <c r="E34" s="11"/>
      <c r="F34" s="26">
        <f>Calcs!C20</f>
        <v>16569.134020307276</v>
      </c>
      <c r="G34" s="1"/>
      <c r="H34" s="11" t="s">
        <v>66</v>
      </c>
      <c r="I34" s="11"/>
      <c r="J34" s="26" t="e">
        <f>Calcs!C41</f>
        <v>#N/A</v>
      </c>
      <c r="K34" s="1"/>
      <c r="L34" s="11" t="s">
        <v>63</v>
      </c>
      <c r="M34" s="11"/>
      <c r="N34" s="26" t="e">
        <f>F34-J34</f>
        <v>#N/A</v>
      </c>
    </row>
    <row r="35" spans="2:14" x14ac:dyDescent="0.2">
      <c r="B35" s="1"/>
      <c r="C35" s="1"/>
      <c r="D35" s="1"/>
      <c r="E35" s="1"/>
      <c r="F35" s="8"/>
      <c r="G35" s="1"/>
      <c r="H35" s="1"/>
      <c r="I35" s="1"/>
      <c r="J35" s="1"/>
      <c r="K35" s="1"/>
      <c r="L35" s="1"/>
      <c r="M35" s="1"/>
      <c r="N35" s="8"/>
    </row>
    <row r="36" spans="2:14" x14ac:dyDescent="0.2">
      <c r="B36" s="53" t="s">
        <v>81</v>
      </c>
      <c r="C36" s="1"/>
      <c r="D36" s="50" t="str">
        <f>CONCATENATE("Year 11 Cash Flow of $", ROUND(Calcs!F14,0))</f>
        <v>Year 11 Cash Flow of $1537</v>
      </c>
      <c r="E36" s="19"/>
      <c r="F36" s="49"/>
      <c r="G36" s="1"/>
      <c r="H36" s="19" t="s">
        <v>78</v>
      </c>
      <c r="I36" s="19"/>
      <c r="J36" s="49"/>
      <c r="K36" s="1"/>
      <c r="L36" s="50" t="s">
        <v>98</v>
      </c>
      <c r="M36" s="19"/>
      <c r="N36" s="49">
        <f>F39</f>
        <v>16569.134020307276</v>
      </c>
    </row>
    <row r="37" spans="2:14" x14ac:dyDescent="0.2">
      <c r="B37" s="1"/>
      <c r="C37" s="1"/>
      <c r="D37" s="19" t="str">
        <f>CONCATENATE("capitalized at ", Input!E16*100, "% equals")</f>
        <v>capitalized at 9% equals</v>
      </c>
      <c r="E37" s="1"/>
      <c r="F37" s="51">
        <f>Calcs!F14/Input!E16</f>
        <v>17081.581464234307</v>
      </c>
      <c r="G37" s="1"/>
      <c r="H37" s="50" t="s">
        <v>83</v>
      </c>
      <c r="I37" s="19"/>
      <c r="J37" s="49"/>
      <c r="K37" s="1"/>
      <c r="L37" s="52" t="s">
        <v>79</v>
      </c>
      <c r="M37" s="19"/>
      <c r="N37" s="26" t="e">
        <f>J34</f>
        <v>#N/A</v>
      </c>
    </row>
    <row r="38" spans="2:14" x14ac:dyDescent="0.2">
      <c r="B38" s="1"/>
      <c r="C38" s="1"/>
      <c r="D38" s="50" t="s">
        <v>85</v>
      </c>
      <c r="E38" s="19"/>
      <c r="F38" s="26">
        <f>F37*Input!E17</f>
        <v>512.44744392702921</v>
      </c>
      <c r="G38" s="1"/>
      <c r="H38" s="19" t="s">
        <v>82</v>
      </c>
      <c r="I38" s="19"/>
      <c r="J38" s="49"/>
      <c r="K38" s="1"/>
      <c r="L38" s="19" t="s">
        <v>80</v>
      </c>
      <c r="M38" s="19"/>
      <c r="N38" s="49" t="e">
        <f>N36-N37</f>
        <v>#N/A</v>
      </c>
    </row>
    <row r="39" spans="2:14" x14ac:dyDescent="0.2">
      <c r="B39" s="1"/>
      <c r="C39" s="1"/>
      <c r="D39" s="50" t="s">
        <v>86</v>
      </c>
      <c r="E39" s="19"/>
      <c r="F39" s="49">
        <f>F37-F38</f>
        <v>16569.134020307276</v>
      </c>
      <c r="G39" s="1"/>
      <c r="H39" s="19"/>
      <c r="I39" s="19"/>
      <c r="J39" s="49"/>
      <c r="K39" s="1"/>
      <c r="L39" s="19"/>
      <c r="M39" s="19"/>
      <c r="N39" s="49"/>
    </row>
  </sheetData>
  <mergeCells count="4">
    <mergeCell ref="H3:K3"/>
    <mergeCell ref="D18:F18"/>
    <mergeCell ref="H18:J18"/>
    <mergeCell ref="L18:N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Intro</vt:lpstr>
      <vt:lpstr>Input</vt:lpstr>
      <vt:lpstr>Calcs</vt:lpstr>
      <vt:lpstr>Output-LTV</vt:lpstr>
      <vt:lpstr>Output-DCR</vt:lpstr>
      <vt:lpstr>Output-DY</vt:lpstr>
      <vt:lpstr>Input!Print_Area</vt:lpstr>
      <vt:lpstr>'Output-LTV'!Print_Area</vt:lpstr>
    </vt:vector>
  </TitlesOfParts>
  <Company>Cornell University -  Hotel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FixVar</dc:title>
  <dc:creator>Jan deRoos</dc:creator>
  <cp:lastModifiedBy>Jennifer</cp:lastModifiedBy>
  <cp:lastPrinted>1999-07-14T22:45:45Z</cp:lastPrinted>
  <dcterms:created xsi:type="dcterms:W3CDTF">1998-11-27T21:01:16Z</dcterms:created>
  <dcterms:modified xsi:type="dcterms:W3CDTF">2018-05-10T16:26:54Z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{DD8266A6-1D5A-427B-9E0F-227248070B4B}</vt:lpwstr>
  </property>
</Properties>
</file>