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20" windowHeight="8580"/>
  </bookViews>
  <sheets>
    <sheet name="base data" sheetId="1" r:id="rId1"/>
    <sheet name="comparison model - travel" sheetId="2" r:id="rId2"/>
    <sheet name="comparison model - cash back" sheetId="3" r:id="rId3"/>
  </sheets>
  <calcPr calcId="114210"/>
</workbook>
</file>

<file path=xl/calcChain.xml><?xml version="1.0" encoding="utf-8"?>
<calcChain xmlns="http://schemas.openxmlformats.org/spreadsheetml/2006/main">
  <c r="L3" i="3"/>
  <c r="L6"/>
  <c r="L7"/>
  <c r="L8"/>
  <c r="L9"/>
  <c r="F3"/>
  <c r="F4"/>
  <c r="F5"/>
  <c r="F2"/>
  <c r="F8"/>
  <c r="L2"/>
  <c r="L1"/>
  <c r="L20" i="2"/>
  <c r="L3"/>
  <c r="L4"/>
  <c r="L5"/>
  <c r="L2"/>
  <c r="L7"/>
  <c r="L6"/>
  <c r="L8"/>
  <c r="L9"/>
  <c r="L16"/>
  <c r="L23"/>
  <c r="L19"/>
  <c r="L15"/>
  <c r="L22"/>
  <c r="K20"/>
  <c r="K3"/>
  <c r="K4"/>
  <c r="K5"/>
  <c r="K2"/>
  <c r="K7"/>
  <c r="K6"/>
  <c r="K8"/>
  <c r="K9"/>
  <c r="K16"/>
  <c r="K23"/>
  <c r="K19"/>
  <c r="K15"/>
  <c r="K22"/>
  <c r="J20"/>
  <c r="J3"/>
  <c r="J4"/>
  <c r="J5"/>
  <c r="J2"/>
  <c r="J7"/>
  <c r="J6"/>
  <c r="J8"/>
  <c r="J9"/>
  <c r="J16"/>
  <c r="J23"/>
  <c r="J19"/>
  <c r="J15"/>
  <c r="J22"/>
  <c r="I20"/>
  <c r="I3"/>
  <c r="I4"/>
  <c r="I5"/>
  <c r="I2"/>
  <c r="I7"/>
  <c r="I6"/>
  <c r="I8"/>
  <c r="I9"/>
  <c r="I16"/>
  <c r="I23"/>
  <c r="I19"/>
  <c r="I15"/>
  <c r="I22"/>
  <c r="H20"/>
  <c r="H3"/>
  <c r="H4"/>
  <c r="H5"/>
  <c r="H2"/>
  <c r="H7"/>
  <c r="H6"/>
  <c r="H8"/>
  <c r="H9"/>
  <c r="H16"/>
  <c r="H23"/>
  <c r="H19"/>
  <c r="H15"/>
  <c r="H22"/>
  <c r="G20"/>
  <c r="G3"/>
  <c r="G4"/>
  <c r="G5"/>
  <c r="G2"/>
  <c r="G7"/>
  <c r="G6"/>
  <c r="G8"/>
  <c r="G9"/>
  <c r="G16"/>
  <c r="G23"/>
  <c r="G19"/>
  <c r="G15"/>
  <c r="G22"/>
  <c r="F20"/>
  <c r="F3"/>
  <c r="F4"/>
  <c r="F5"/>
  <c r="F2"/>
  <c r="F7"/>
  <c r="F6"/>
  <c r="F8"/>
  <c r="F9"/>
  <c r="F16"/>
  <c r="F23"/>
  <c r="F19"/>
  <c r="F15"/>
  <c r="F22"/>
  <c r="E20"/>
  <c r="E3"/>
  <c r="E4"/>
  <c r="E5"/>
  <c r="E2"/>
  <c r="E7"/>
  <c r="E6"/>
  <c r="E8"/>
  <c r="E9"/>
  <c r="E16"/>
  <c r="E23"/>
  <c r="E19"/>
  <c r="E15"/>
  <c r="E22"/>
  <c r="D20"/>
  <c r="C3"/>
  <c r="C4"/>
  <c r="D5"/>
  <c r="D2"/>
  <c r="D7"/>
  <c r="D6"/>
  <c r="D8"/>
  <c r="D9"/>
  <c r="D16"/>
  <c r="D23"/>
  <c r="D19"/>
  <c r="D15"/>
  <c r="D22"/>
  <c r="C19"/>
  <c r="C5"/>
  <c r="C2"/>
  <c r="C7"/>
  <c r="C6"/>
  <c r="C8"/>
  <c r="C9"/>
  <c r="C15"/>
  <c r="C22"/>
  <c r="C20"/>
  <c r="C16"/>
  <c r="C23"/>
  <c r="K3" i="3"/>
  <c r="K4"/>
  <c r="K2"/>
  <c r="K8"/>
  <c r="K1"/>
  <c r="J3"/>
  <c r="J4"/>
  <c r="J2"/>
  <c r="J8"/>
  <c r="J1"/>
  <c r="F11" i="1"/>
  <c r="F3"/>
  <c r="C3"/>
  <c r="D4" i="2"/>
  <c r="D3"/>
  <c r="D1"/>
  <c r="F2" i="1"/>
  <c r="I7" i="3"/>
  <c r="I6"/>
  <c r="I2"/>
  <c r="I1"/>
  <c r="I8"/>
  <c r="H1"/>
  <c r="G1"/>
  <c r="F1"/>
  <c r="E1"/>
  <c r="D1"/>
  <c r="C1"/>
  <c r="C18" i="1"/>
  <c r="H6" i="3"/>
  <c r="H7"/>
  <c r="C20" i="1"/>
  <c r="H2" i="3"/>
  <c r="H8"/>
  <c r="G6"/>
  <c r="G7"/>
  <c r="G2"/>
  <c r="G8"/>
  <c r="E3"/>
  <c r="E4"/>
  <c r="E2"/>
  <c r="E8"/>
  <c r="D3"/>
  <c r="D4"/>
  <c r="D2"/>
  <c r="D8"/>
  <c r="C3"/>
  <c r="C4"/>
  <c r="C2"/>
  <c r="C8"/>
  <c r="C10" i="1"/>
  <c r="E10"/>
  <c r="E9"/>
  <c r="K1" i="2"/>
  <c r="J1"/>
  <c r="D5" i="1"/>
  <c r="D4"/>
  <c r="F8"/>
  <c r="F5"/>
  <c r="F4"/>
  <c r="C11"/>
  <c r="C8"/>
  <c r="C7"/>
  <c r="C6"/>
  <c r="C4"/>
  <c r="C2"/>
  <c r="L1" i="2"/>
  <c r="I1"/>
  <c r="H1"/>
  <c r="G1"/>
  <c r="F1"/>
  <c r="E1"/>
  <c r="C1"/>
</calcChain>
</file>

<file path=xl/sharedStrings.xml><?xml version="1.0" encoding="utf-8"?>
<sst xmlns="http://schemas.openxmlformats.org/spreadsheetml/2006/main" count="101" uniqueCount="77">
  <si>
    <t>Credit Card</t>
  </si>
  <si>
    <t>Points to Vancouver</t>
  </si>
  <si>
    <t>Points to Toronto</t>
  </si>
  <si>
    <t>Points to Palm Desert</t>
  </si>
  <si>
    <t>Points to Mexico</t>
  </si>
  <si>
    <t>RBC Visa Infinite Avion</t>
  </si>
  <si>
    <t>Cost for the Card per year</t>
  </si>
  <si>
    <t>Additional?</t>
  </si>
  <si>
    <t>1.5 points for flight and hotel bookings</t>
  </si>
  <si>
    <t>TD First Class Travel Visa Infinite</t>
  </si>
  <si>
    <t>Welcome Points</t>
  </si>
  <si>
    <t>Value per Point</t>
  </si>
  <si>
    <t>CIBC Aventura Mastercard</t>
  </si>
  <si>
    <t>CIBC Aventura Visa</t>
  </si>
  <si>
    <t>Scotiabank Gold Passport Visa</t>
  </si>
  <si>
    <t>Category</t>
  </si>
  <si>
    <t>Travel</t>
  </si>
  <si>
    <t>BMO World Elite Mastercard</t>
  </si>
  <si>
    <t>Points Earned Yearly</t>
  </si>
  <si>
    <t>Cost for the card</t>
  </si>
  <si>
    <t>Free Travel Earned in Year 1 (Points - Cost)</t>
  </si>
  <si>
    <t>Free Travel Earned in Year 2 (Points - Cost)</t>
  </si>
  <si>
    <t>Points per Dollar Spent</t>
  </si>
  <si>
    <t>Value per point</t>
  </si>
  <si>
    <t>Free Points in Year 1</t>
  </si>
  <si>
    <t>BMO Cashback Mastercard</t>
  </si>
  <si>
    <t>Cash Back</t>
  </si>
  <si>
    <t>BMO Premium Cashback Mastercard</t>
  </si>
  <si>
    <t>Cashback Percentage General</t>
  </si>
  <si>
    <t>Cashback Percentage Grocery and Gas</t>
  </si>
  <si>
    <t>Scotia Momentum Visa</t>
  </si>
  <si>
    <t>Scotia Momentum Visa Infinite</t>
  </si>
  <si>
    <t>CIBC Dividend Infinite Visa</t>
  </si>
  <si>
    <t>CIBC Dividend Visa</t>
  </si>
  <si>
    <t>Cashback on First 3000</t>
  </si>
  <si>
    <t>Cashback on 3000-5000</t>
  </si>
  <si>
    <t>Multiplier for Groceries and Gas</t>
  </si>
  <si>
    <t>Points Earned Monthly (assume $2000 spend on non-groceries, gas)</t>
  </si>
  <si>
    <t>Points Earned Monthly (groceries and gas with multiplier, assume $1500)</t>
  </si>
  <si>
    <t>Cost Per Card</t>
  </si>
  <si>
    <t>Cash Back on General Purchase (Assume $2000)</t>
  </si>
  <si>
    <t>Yearly Cash Back (Cash back on purchase - cost of card)</t>
  </si>
  <si>
    <t>Cash Back on Variable Ranges</t>
  </si>
  <si>
    <t>RBC WestJet World Mastercard</t>
  </si>
  <si>
    <t>RBC WestJet Mastercard</t>
  </si>
  <si>
    <t>3000-5000</t>
  </si>
  <si>
    <t>Range 2</t>
  </si>
  <si>
    <t>TD Rebate Rewards Visa</t>
  </si>
  <si>
    <t>criteria</t>
  </si>
  <si>
    <t>values</t>
  </si>
  <si>
    <t>RBC Platinum Avion</t>
  </si>
  <si>
    <t>we pay tax on the flight</t>
  </si>
  <si>
    <t>straight 1:1</t>
  </si>
  <si>
    <t>comments</t>
  </si>
  <si>
    <t>have to book with RBC</t>
  </si>
  <si>
    <t>costs aren't always the same</t>
  </si>
  <si>
    <t>Cashback on Gas explicitly</t>
  </si>
  <si>
    <t>2 year benefit</t>
  </si>
  <si>
    <t>3 year benefit</t>
  </si>
  <si>
    <t>compare cash 2 year benefit</t>
  </si>
  <si>
    <t>compare cash 3 year benefit</t>
  </si>
  <si>
    <t>have to book with BMO</t>
  </si>
  <si>
    <t>RBC Cash Back Mastercard</t>
  </si>
  <si>
    <t>RBC Cash Back Visa</t>
  </si>
  <si>
    <t>Difference at 2 years</t>
  </si>
  <si>
    <t>Difference at 3 years</t>
  </si>
  <si>
    <t>Is This Card Better than Cash?</t>
  </si>
  <si>
    <t>Data is really hard to</t>
  </si>
  <si>
    <t>suss out</t>
  </si>
  <si>
    <t>Cash Back on Gas and Groceries (Assume $1500) or just Groceries (Assume $1300)</t>
  </si>
  <si>
    <t>Cash Back on just Gas (Assume $200)</t>
  </si>
  <si>
    <t>TD Classic Visa</t>
  </si>
  <si>
    <t>MBNA Smart Cash</t>
  </si>
  <si>
    <t>Cash back on g&amp;g for 6 months</t>
  </si>
  <si>
    <t>Cash back on g&amp;g after</t>
  </si>
  <si>
    <t>yr 1</t>
  </si>
  <si>
    <t>yr 2</t>
  </si>
</sst>
</file>

<file path=xl/styles.xml><?xml version="1.0" encoding="utf-8"?>
<styleSheet xmlns="http://schemas.openxmlformats.org/spreadsheetml/2006/main">
  <numFmts count="5">
    <numFmt numFmtId="164" formatCode="&quot;$&quot;#,##0_);[Red]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.000_);_(* \(#,##0.000\);_(* &quot;-&quot;??_);_(@_)"/>
    <numFmt numFmtId="168" formatCode="_(&quot;$&quot;* #,##0_);_(&quot;$&quot;* \(#,##0\);_(&quot;$&quot;* &quot;-&quot;??_);_(@_)"/>
  </numFmts>
  <fonts count="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30">
    <xf numFmtId="0" fontId="0" fillId="0" borderId="0" xfId="0"/>
    <xf numFmtId="165" fontId="0" fillId="0" borderId="0" xfId="2" applyFont="1"/>
    <xf numFmtId="164" fontId="0" fillId="0" borderId="0" xfId="0" applyNumberFormat="1"/>
    <xf numFmtId="0" fontId="0" fillId="0" borderId="0" xfId="0" applyAlignment="1">
      <alignment textRotation="45"/>
    </xf>
    <xf numFmtId="0" fontId="0" fillId="0" borderId="0" xfId="0" applyAlignment="1"/>
    <xf numFmtId="165" fontId="0" fillId="0" borderId="0" xfId="0" applyNumberFormat="1"/>
    <xf numFmtId="0" fontId="0" fillId="0" borderId="0" xfId="0" applyNumberFormat="1"/>
    <xf numFmtId="167" fontId="0" fillId="0" borderId="0" xfId="1" applyNumberFormat="1" applyFont="1"/>
    <xf numFmtId="10" fontId="0" fillId="0" borderId="0" xfId="0" applyNumberFormat="1"/>
    <xf numFmtId="9" fontId="0" fillId="0" borderId="0" xfId="0" applyNumberFormat="1"/>
    <xf numFmtId="168" fontId="0" fillId="0" borderId="0" xfId="2" applyNumberFormat="1" applyFont="1"/>
    <xf numFmtId="165" fontId="0" fillId="0" borderId="0" xfId="2" applyNumberFormat="1" applyFon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165" fontId="1" fillId="0" borderId="0" xfId="2" applyFont="1"/>
    <xf numFmtId="0" fontId="1" fillId="0" borderId="0" xfId="2" applyNumberFormat="1" applyFont="1"/>
    <xf numFmtId="0" fontId="1" fillId="0" borderId="0" xfId="0" applyNumberFormat="1" applyFont="1"/>
    <xf numFmtId="165" fontId="0" fillId="0" borderId="0" xfId="2" applyFo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4"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workbookViewId="0"/>
  </sheetViews>
  <sheetFormatPr defaultRowHeight="15"/>
  <cols>
    <col min="1" max="1" width="30.140625" bestFit="1" customWidth="1"/>
    <col min="2" max="2" width="30.140625" customWidth="1"/>
    <col min="3" max="3" width="23.85546875" bestFit="1" customWidth="1"/>
    <col min="4" max="4" width="21.7109375" bestFit="1" customWidth="1"/>
    <col min="5" max="5" width="15.5703125" bestFit="1" customWidth="1"/>
    <col min="6" max="6" width="18.28515625" customWidth="1"/>
    <col min="7" max="7" width="19" bestFit="1" customWidth="1"/>
    <col min="8" max="8" width="16.42578125" bestFit="1" customWidth="1"/>
    <col min="9" max="9" width="20.28515625" bestFit="1" customWidth="1"/>
    <col min="10" max="10" width="15.85546875" bestFit="1" customWidth="1"/>
    <col min="11" max="11" width="15.85546875" customWidth="1"/>
  </cols>
  <sheetData>
    <row r="1" spans="1:12">
      <c r="A1" s="21" t="s">
        <v>0</v>
      </c>
      <c r="B1" s="21" t="s">
        <v>15</v>
      </c>
      <c r="C1" s="21" t="s">
        <v>6</v>
      </c>
      <c r="D1" s="21" t="s">
        <v>22</v>
      </c>
      <c r="E1" s="21" t="s">
        <v>10</v>
      </c>
      <c r="F1" s="21" t="s">
        <v>11</v>
      </c>
      <c r="G1" s="21" t="s">
        <v>1</v>
      </c>
      <c r="H1" s="21" t="s">
        <v>2</v>
      </c>
      <c r="I1" s="21" t="s">
        <v>3</v>
      </c>
      <c r="J1" s="21" t="s">
        <v>4</v>
      </c>
      <c r="K1" s="21" t="s">
        <v>36</v>
      </c>
      <c r="L1" s="21" t="s">
        <v>7</v>
      </c>
    </row>
    <row r="2" spans="1:12">
      <c r="A2" s="21" t="s">
        <v>5</v>
      </c>
      <c r="B2" s="21" t="s">
        <v>16</v>
      </c>
      <c r="C2" s="22">
        <f>120+50</f>
        <v>170</v>
      </c>
      <c r="D2" s="23">
        <v>1</v>
      </c>
      <c r="E2" s="21">
        <v>15000</v>
      </c>
      <c r="F2" s="21">
        <f>AVERAGE(400,600,800)/(AVERAGE(G2,I2,J2))</f>
        <v>1.8947368421052629E-2</v>
      </c>
      <c r="G2" s="21">
        <v>15000</v>
      </c>
      <c r="H2" s="21">
        <v>15000</v>
      </c>
      <c r="I2" s="21">
        <v>35000</v>
      </c>
      <c r="J2" s="21">
        <v>45000</v>
      </c>
      <c r="K2" s="21">
        <v>1</v>
      </c>
      <c r="L2" s="21" t="s">
        <v>8</v>
      </c>
    </row>
    <row r="3" spans="1:12">
      <c r="A3" s="21" t="s">
        <v>50</v>
      </c>
      <c r="B3" s="21" t="s">
        <v>16</v>
      </c>
      <c r="C3" s="22">
        <f>120+50</f>
        <v>170</v>
      </c>
      <c r="D3" s="23">
        <v>1</v>
      </c>
      <c r="E3" s="21">
        <v>15000</v>
      </c>
      <c r="F3" s="21">
        <f>750/35000</f>
        <v>2.1428571428571429E-2</v>
      </c>
      <c r="G3" s="21"/>
      <c r="H3" s="21"/>
      <c r="I3" s="21"/>
      <c r="J3" s="21"/>
      <c r="K3" s="21">
        <v>1</v>
      </c>
      <c r="L3" s="21"/>
    </row>
    <row r="4" spans="1:12">
      <c r="A4" s="21" t="s">
        <v>9</v>
      </c>
      <c r="B4" s="21" t="s">
        <v>16</v>
      </c>
      <c r="C4" s="22">
        <f>120+50</f>
        <v>170</v>
      </c>
      <c r="D4" s="23">
        <f>3/1</f>
        <v>3</v>
      </c>
      <c r="E4" s="21">
        <v>20000</v>
      </c>
      <c r="F4" s="21">
        <f>685/137000</f>
        <v>5.0000000000000001E-3</v>
      </c>
      <c r="G4" s="21"/>
      <c r="H4" s="21"/>
      <c r="I4" s="21"/>
      <c r="J4" s="21"/>
      <c r="K4" s="21">
        <v>1</v>
      </c>
      <c r="L4" s="21"/>
    </row>
    <row r="5" spans="1:12">
      <c r="A5" s="21" t="s">
        <v>71</v>
      </c>
      <c r="B5" s="21" t="s">
        <v>16</v>
      </c>
      <c r="C5" s="22">
        <v>19</v>
      </c>
      <c r="D5" s="24">
        <f>2/1</f>
        <v>2</v>
      </c>
      <c r="E5" s="21">
        <v>2000</v>
      </c>
      <c r="F5" s="21">
        <f>100/20000</f>
        <v>5.0000000000000001E-3</v>
      </c>
      <c r="G5" s="21"/>
      <c r="H5" s="21"/>
      <c r="I5" s="21"/>
      <c r="J5" s="21"/>
      <c r="K5" s="21">
        <v>1</v>
      </c>
      <c r="L5" s="21"/>
    </row>
    <row r="6" spans="1:12">
      <c r="A6" s="21" t="s">
        <v>12</v>
      </c>
      <c r="B6" s="21" t="s">
        <v>16</v>
      </c>
      <c r="C6" s="22">
        <f>120+50</f>
        <v>170</v>
      </c>
      <c r="D6" s="24">
        <v>1</v>
      </c>
      <c r="E6" s="21">
        <v>15000</v>
      </c>
      <c r="F6" s="21"/>
      <c r="G6" s="21"/>
      <c r="H6" s="21"/>
      <c r="I6" s="21"/>
      <c r="J6" s="21"/>
      <c r="K6" s="21">
        <v>1.5</v>
      </c>
      <c r="L6" s="21"/>
    </row>
    <row r="7" spans="1:12">
      <c r="A7" s="21" t="s">
        <v>13</v>
      </c>
      <c r="B7" s="21" t="s">
        <v>16</v>
      </c>
      <c r="C7" s="22">
        <f>120+50</f>
        <v>170</v>
      </c>
      <c r="D7" s="24">
        <v>1</v>
      </c>
      <c r="E7" s="21">
        <v>15000</v>
      </c>
      <c r="F7" s="21"/>
      <c r="G7" s="21"/>
      <c r="H7" s="21"/>
      <c r="I7" s="21"/>
      <c r="J7" s="21"/>
      <c r="K7" s="21">
        <v>1.5</v>
      </c>
      <c r="L7" s="21"/>
    </row>
    <row r="8" spans="1:12">
      <c r="A8" s="21" t="s">
        <v>14</v>
      </c>
      <c r="B8" s="21" t="s">
        <v>16</v>
      </c>
      <c r="C8" s="22">
        <f>110+30</f>
        <v>140</v>
      </c>
      <c r="D8" s="24">
        <v>1</v>
      </c>
      <c r="E8" s="21">
        <v>30000</v>
      </c>
      <c r="F8" s="21">
        <f>300/30000</f>
        <v>0.01</v>
      </c>
      <c r="G8" s="21"/>
      <c r="H8" s="21"/>
      <c r="I8" s="21"/>
      <c r="J8" s="21"/>
      <c r="K8" s="21">
        <v>1</v>
      </c>
      <c r="L8" s="21"/>
    </row>
    <row r="9" spans="1:12">
      <c r="A9" s="21" t="s">
        <v>44</v>
      </c>
      <c r="B9" s="21" t="s">
        <v>16</v>
      </c>
      <c r="C9" s="22">
        <v>39</v>
      </c>
      <c r="D9" s="24">
        <v>1</v>
      </c>
      <c r="E9" s="21">
        <f>50/F9</f>
        <v>5000</v>
      </c>
      <c r="F9" s="21">
        <v>0.01</v>
      </c>
      <c r="G9" s="21"/>
      <c r="H9" s="21"/>
      <c r="I9" s="21"/>
      <c r="J9" s="21"/>
      <c r="K9" s="21"/>
      <c r="L9" s="21"/>
    </row>
    <row r="10" spans="1:12">
      <c r="A10" s="21" t="s">
        <v>43</v>
      </c>
      <c r="B10" s="21" t="s">
        <v>16</v>
      </c>
      <c r="C10" s="22">
        <f>79+50</f>
        <v>129</v>
      </c>
      <c r="D10" s="24">
        <v>1.5</v>
      </c>
      <c r="E10" s="21">
        <f>100/F10</f>
        <v>6666.666666666667</v>
      </c>
      <c r="F10" s="21">
        <v>1.4999999999999999E-2</v>
      </c>
      <c r="G10" s="21"/>
      <c r="H10" s="21"/>
      <c r="I10" s="21"/>
      <c r="J10" s="21"/>
      <c r="K10" s="21"/>
      <c r="L10" s="21"/>
    </row>
    <row r="11" spans="1:12">
      <c r="A11" s="21" t="s">
        <v>17</v>
      </c>
      <c r="B11" s="21" t="s">
        <v>16</v>
      </c>
      <c r="C11" s="22">
        <f>150+50</f>
        <v>200</v>
      </c>
      <c r="D11" s="24">
        <v>1</v>
      </c>
      <c r="E11" s="21">
        <v>15000</v>
      </c>
      <c r="F11" s="21">
        <f>285/15000</f>
        <v>1.9E-2</v>
      </c>
      <c r="G11" s="21"/>
      <c r="H11" s="21"/>
      <c r="I11" s="21"/>
      <c r="J11" s="21"/>
      <c r="K11" s="21">
        <v>1</v>
      </c>
      <c r="L11" s="21"/>
    </row>
    <row r="14" spans="1:12">
      <c r="A14" t="s">
        <v>0</v>
      </c>
      <c r="B14" t="s">
        <v>15</v>
      </c>
      <c r="C14" t="s">
        <v>6</v>
      </c>
      <c r="D14" t="s">
        <v>28</v>
      </c>
      <c r="E14" t="s">
        <v>29</v>
      </c>
      <c r="F14" t="s">
        <v>56</v>
      </c>
      <c r="G14" t="s">
        <v>34</v>
      </c>
      <c r="H14" t="s">
        <v>35</v>
      </c>
      <c r="I14" t="s">
        <v>73</v>
      </c>
      <c r="J14" t="s">
        <v>74</v>
      </c>
    </row>
    <row r="15" spans="1:12">
      <c r="A15" t="s">
        <v>25</v>
      </c>
      <c r="B15" t="s">
        <v>26</v>
      </c>
      <c r="C15">
        <v>0</v>
      </c>
      <c r="D15" s="8">
        <v>5.0000000000000001E-3</v>
      </c>
      <c r="E15" s="8">
        <v>5.0000000000000001E-3</v>
      </c>
      <c r="F15" s="8"/>
    </row>
    <row r="16" spans="1:12">
      <c r="A16" t="s">
        <v>27</v>
      </c>
      <c r="B16" t="s">
        <v>26</v>
      </c>
      <c r="C16" s="2">
        <v>49</v>
      </c>
      <c r="D16" s="8">
        <v>0.01</v>
      </c>
      <c r="E16" s="8">
        <v>0.01</v>
      </c>
      <c r="F16" s="8"/>
    </row>
    <row r="17" spans="1:10">
      <c r="A17" t="s">
        <v>30</v>
      </c>
      <c r="B17" t="s">
        <v>26</v>
      </c>
      <c r="C17">
        <v>0</v>
      </c>
      <c r="D17" s="8">
        <v>5.0000000000000001E-3</v>
      </c>
      <c r="E17" s="9">
        <v>0.01</v>
      </c>
      <c r="F17" s="9"/>
    </row>
    <row r="18" spans="1:10">
      <c r="A18" t="s">
        <v>31</v>
      </c>
      <c r="B18" t="s">
        <v>26</v>
      </c>
      <c r="C18" s="2">
        <f>99+15</f>
        <v>114</v>
      </c>
      <c r="D18" s="9">
        <v>0.01</v>
      </c>
      <c r="E18" s="9">
        <v>0.04</v>
      </c>
      <c r="F18" s="9">
        <v>0.02</v>
      </c>
    </row>
    <row r="19" spans="1:10">
      <c r="A19" t="s">
        <v>33</v>
      </c>
      <c r="B19" t="s">
        <v>26</v>
      </c>
      <c r="C19">
        <v>0</v>
      </c>
      <c r="G19" s="8">
        <v>2.5000000000000001E-3</v>
      </c>
      <c r="H19" s="8">
        <v>5.0000000000000001E-3</v>
      </c>
    </row>
    <row r="20" spans="1:10">
      <c r="A20" t="s">
        <v>32</v>
      </c>
      <c r="B20" t="s">
        <v>26</v>
      </c>
      <c r="C20" s="2">
        <f>79+30</f>
        <v>109</v>
      </c>
      <c r="G20" s="8">
        <v>5.0000000000000001E-3</v>
      </c>
      <c r="H20" s="9">
        <v>0.01</v>
      </c>
    </row>
    <row r="21" spans="1:10">
      <c r="A21" t="s">
        <v>47</v>
      </c>
      <c r="B21" t="s">
        <v>26</v>
      </c>
      <c r="C21">
        <v>0</v>
      </c>
      <c r="G21" s="8">
        <v>5.0000000000000001E-3</v>
      </c>
      <c r="H21" s="9">
        <v>0.01</v>
      </c>
    </row>
    <row r="22" spans="1:10">
      <c r="A22" t="s">
        <v>62</v>
      </c>
      <c r="B22" t="s">
        <v>26</v>
      </c>
      <c r="C22" s="2">
        <v>0</v>
      </c>
      <c r="D22" s="9">
        <v>0.01</v>
      </c>
      <c r="E22" s="9">
        <v>0.02</v>
      </c>
    </row>
    <row r="23" spans="1:10">
      <c r="A23" t="s">
        <v>63</v>
      </c>
      <c r="B23" t="s">
        <v>26</v>
      </c>
      <c r="C23">
        <v>19</v>
      </c>
      <c r="D23" s="9">
        <v>0.01</v>
      </c>
      <c r="E23" s="9">
        <v>0.01</v>
      </c>
    </row>
    <row r="24" spans="1:10">
      <c r="A24" t="s">
        <v>72</v>
      </c>
      <c r="B24" t="s">
        <v>26</v>
      </c>
      <c r="C24" s="2">
        <v>0</v>
      </c>
      <c r="D24" s="9">
        <v>0.01</v>
      </c>
      <c r="I24" s="9">
        <v>0.05</v>
      </c>
      <c r="J24" s="9">
        <v>0.03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selection activeCell="D9" sqref="D9"/>
    </sheetView>
  </sheetViews>
  <sheetFormatPr defaultRowHeight="15"/>
  <cols>
    <col min="1" max="1" width="66.7109375" bestFit="1" customWidth="1"/>
    <col min="2" max="2" width="6.7109375" bestFit="1" customWidth="1"/>
    <col min="3" max="3" width="10.7109375" bestFit="1" customWidth="1"/>
    <col min="4" max="4" width="10.5703125" customWidth="1"/>
    <col min="5" max="6" width="10.5703125" bestFit="1" customWidth="1"/>
    <col min="7" max="7" width="11.140625" customWidth="1"/>
    <col min="8" max="8" width="10.85546875" customWidth="1"/>
    <col min="9" max="9" width="11.42578125" customWidth="1"/>
    <col min="10" max="10" width="10.5703125" bestFit="1" customWidth="1"/>
    <col min="11" max="11" width="11.5703125" customWidth="1"/>
    <col min="12" max="12" width="14.28515625" customWidth="1"/>
  </cols>
  <sheetData>
    <row r="1" spans="1:13" ht="119.25">
      <c r="A1" t="s">
        <v>48</v>
      </c>
      <c r="B1" t="s">
        <v>49</v>
      </c>
      <c r="C1" s="3" t="str">
        <f ca="1">'base data'!A2</f>
        <v>RBC Visa Infinite Avion</v>
      </c>
      <c r="D1" s="3" t="str">
        <f ca="1">'base data'!A3</f>
        <v>RBC Platinum Avion</v>
      </c>
      <c r="E1" s="3" t="str">
        <f ca="1">'base data'!A4</f>
        <v>TD First Class Travel Visa Infinite</v>
      </c>
      <c r="F1" s="3" t="str">
        <f ca="1">'base data'!A5</f>
        <v>TD Classic Visa</v>
      </c>
      <c r="G1" s="3" t="str">
        <f ca="1">'base data'!A6</f>
        <v>CIBC Aventura Mastercard</v>
      </c>
      <c r="H1" s="3" t="str">
        <f ca="1">'base data'!A7</f>
        <v>CIBC Aventura Visa</v>
      </c>
      <c r="I1" s="3" t="str">
        <f ca="1">'base data'!A8</f>
        <v>Scotiabank Gold Passport Visa</v>
      </c>
      <c r="J1" s="3" t="str">
        <f ca="1">'base data'!A9</f>
        <v>RBC WestJet Mastercard</v>
      </c>
      <c r="K1" s="3" t="str">
        <f ca="1">'base data'!A10</f>
        <v>RBC WestJet World Mastercard</v>
      </c>
      <c r="L1" s="3" t="str">
        <f ca="1">'base data'!A11</f>
        <v>BMO World Elite Mastercard</v>
      </c>
    </row>
    <row r="2" spans="1:13">
      <c r="A2" t="s">
        <v>24</v>
      </c>
      <c r="C2" s="4">
        <f ca="1">'base data'!E2</f>
        <v>15000</v>
      </c>
      <c r="D2" s="4">
        <f ca="1">'base data'!E3</f>
        <v>15000</v>
      </c>
      <c r="E2" s="4">
        <f ca="1">'base data'!E4</f>
        <v>20000</v>
      </c>
      <c r="F2" s="4">
        <f ca="1">'base data'!E5</f>
        <v>2000</v>
      </c>
      <c r="G2" s="4">
        <f ca="1">'base data'!E6</f>
        <v>15000</v>
      </c>
      <c r="H2" s="4">
        <f ca="1">'base data'!E7</f>
        <v>15000</v>
      </c>
      <c r="I2" s="4">
        <f ca="1">'base data'!E8</f>
        <v>30000</v>
      </c>
      <c r="J2" s="4">
        <f ca="1">'base data'!E9</f>
        <v>5000</v>
      </c>
      <c r="K2" s="4">
        <f ca="1">'base data'!E10</f>
        <v>6666.666666666667</v>
      </c>
      <c r="L2" s="4">
        <f ca="1">'base data'!E11</f>
        <v>15000</v>
      </c>
    </row>
    <row r="3" spans="1:13">
      <c r="A3" t="s">
        <v>37</v>
      </c>
      <c r="B3">
        <v>2000</v>
      </c>
      <c r="C3" s="6">
        <f ca="1">$B$3*'base data'!D2</f>
        <v>2000</v>
      </c>
      <c r="D3" s="6">
        <f ca="1">$B$3*'base data'!D3</f>
        <v>2000</v>
      </c>
      <c r="E3" s="6">
        <f ca="1">B3*'base data'!D4</f>
        <v>6000</v>
      </c>
      <c r="F3" s="6">
        <f ca="1">B3*'base data'!D5</f>
        <v>4000</v>
      </c>
      <c r="G3" s="6">
        <f ca="1">B3*'base data'!D6</f>
        <v>2000</v>
      </c>
      <c r="H3" s="6">
        <f ca="1">B3*'base data'!D7</f>
        <v>2000</v>
      </c>
      <c r="I3" s="6">
        <f ca="1">B3*'base data'!D8</f>
        <v>2000</v>
      </c>
      <c r="J3" s="6">
        <f ca="1">B3*'base data'!D9</f>
        <v>2000</v>
      </c>
      <c r="K3" s="6">
        <f ca="1">B3*'base data'!D10</f>
        <v>3000</v>
      </c>
      <c r="L3" s="6">
        <f ca="1">B3*'base data'!D11</f>
        <v>2000</v>
      </c>
    </row>
    <row r="4" spans="1:13">
      <c r="A4" t="s">
        <v>38</v>
      </c>
      <c r="B4">
        <v>1500</v>
      </c>
      <c r="C4" s="6">
        <f ca="1">$B$4*'base data'!K2</f>
        <v>1500</v>
      </c>
      <c r="D4" s="6">
        <f ca="1">$B$4*'base data'!K3</f>
        <v>1500</v>
      </c>
      <c r="E4" s="6">
        <f ca="1">$B$4*'base data'!K4</f>
        <v>1500</v>
      </c>
      <c r="F4" s="6">
        <f ca="1">B4*'base data'!K5</f>
        <v>1500</v>
      </c>
      <c r="G4" s="6">
        <f ca="1">B4*'base data'!K6</f>
        <v>2250</v>
      </c>
      <c r="H4" s="6">
        <f ca="1">B4*'base data'!K7</f>
        <v>2250</v>
      </c>
      <c r="I4" s="6">
        <f ca="1">B4*'base data'!K8</f>
        <v>1500</v>
      </c>
      <c r="J4" s="6">
        <f ca="1">B4*'base data'!K9</f>
        <v>0</v>
      </c>
      <c r="K4" s="6">
        <f ca="1">B4*'base data'!K10</f>
        <v>0</v>
      </c>
      <c r="L4" s="6">
        <f ca="1">B4*'base data'!K11</f>
        <v>1500</v>
      </c>
      <c r="M4" s="6"/>
    </row>
    <row r="5" spans="1:13">
      <c r="A5" t="s">
        <v>18</v>
      </c>
      <c r="B5">
        <v>12</v>
      </c>
      <c r="C5">
        <f t="shared" ref="C5:L5" si="0">SUM(C3:C4)*$B$5</f>
        <v>42000</v>
      </c>
      <c r="D5">
        <f ca="1">SUM(C3:C4)*$B$5</f>
        <v>42000</v>
      </c>
      <c r="E5">
        <f t="shared" si="0"/>
        <v>90000</v>
      </c>
      <c r="F5">
        <f t="shared" si="0"/>
        <v>66000</v>
      </c>
      <c r="G5">
        <f t="shared" si="0"/>
        <v>51000</v>
      </c>
      <c r="H5">
        <f t="shared" si="0"/>
        <v>51000</v>
      </c>
      <c r="I5">
        <f t="shared" si="0"/>
        <v>42000</v>
      </c>
      <c r="J5">
        <f t="shared" si="0"/>
        <v>24000</v>
      </c>
      <c r="K5">
        <f t="shared" si="0"/>
        <v>36000</v>
      </c>
      <c r="L5">
        <f t="shared" si="0"/>
        <v>42000</v>
      </c>
    </row>
    <row r="6" spans="1:13">
      <c r="A6" t="s">
        <v>19</v>
      </c>
      <c r="C6" s="5">
        <f ca="1">'base data'!C2</f>
        <v>170</v>
      </c>
      <c r="D6" s="5">
        <f ca="1">'base data'!C3</f>
        <v>170</v>
      </c>
      <c r="E6" s="5">
        <f ca="1">'base data'!C4</f>
        <v>170</v>
      </c>
      <c r="F6" s="1">
        <f ca="1">'base data'!C5</f>
        <v>19</v>
      </c>
      <c r="G6" s="5">
        <f ca="1">'base data'!C6</f>
        <v>170</v>
      </c>
      <c r="H6" s="5">
        <f ca="1">'base data'!C7</f>
        <v>170</v>
      </c>
      <c r="I6" s="5">
        <f ca="1">'base data'!C8</f>
        <v>140</v>
      </c>
      <c r="J6" s="5">
        <f ca="1">'base data'!C9</f>
        <v>39</v>
      </c>
      <c r="K6" s="5">
        <f ca="1">'base data'!C10</f>
        <v>129</v>
      </c>
      <c r="L6" s="5">
        <f ca="1">'base data'!C11</f>
        <v>200</v>
      </c>
    </row>
    <row r="7" spans="1:13">
      <c r="A7" t="s">
        <v>23</v>
      </c>
      <c r="C7" s="7">
        <f ca="1">'base data'!F2</f>
        <v>1.8947368421052629E-2</v>
      </c>
      <c r="D7" s="7">
        <f ca="1">'base data'!F3</f>
        <v>2.1428571428571429E-2</v>
      </c>
      <c r="E7" s="7">
        <f ca="1">'base data'!F4</f>
        <v>5.0000000000000001E-3</v>
      </c>
      <c r="F7" s="7">
        <f ca="1">'base data'!F5</f>
        <v>5.0000000000000001E-3</v>
      </c>
      <c r="G7" s="7">
        <f ca="1">'base data'!F6</f>
        <v>0</v>
      </c>
      <c r="H7" s="7">
        <f ca="1">'base data'!F7</f>
        <v>0</v>
      </c>
      <c r="I7" s="7">
        <f ca="1">'base data'!F8</f>
        <v>0.01</v>
      </c>
      <c r="J7" s="7">
        <f ca="1">'base data'!F9</f>
        <v>0.01</v>
      </c>
      <c r="K7" s="7">
        <f ca="1">'base data'!F10</f>
        <v>1.4999999999999999E-2</v>
      </c>
      <c r="L7" s="7">
        <f ca="1">'base data'!F11</f>
        <v>1.9E-2</v>
      </c>
      <c r="M7" s="5"/>
    </row>
    <row r="8" spans="1:13">
      <c r="A8" t="s">
        <v>20</v>
      </c>
      <c r="C8" s="1">
        <f t="shared" ref="C8:L8" si="1">((C5+C2)*C7)-C6</f>
        <v>909.99999999999977</v>
      </c>
      <c r="D8" s="1">
        <f t="shared" si="1"/>
        <v>1051.4285714285713</v>
      </c>
      <c r="E8" s="1">
        <f t="shared" si="1"/>
        <v>380</v>
      </c>
      <c r="F8" s="1">
        <f t="shared" si="1"/>
        <v>321</v>
      </c>
      <c r="G8" s="1">
        <f t="shared" si="1"/>
        <v>-170</v>
      </c>
      <c r="H8" s="1">
        <f t="shared" si="1"/>
        <v>-170</v>
      </c>
      <c r="I8" s="1">
        <f t="shared" si="1"/>
        <v>580</v>
      </c>
      <c r="J8" s="1">
        <f t="shared" si="1"/>
        <v>251</v>
      </c>
      <c r="K8" s="1">
        <f t="shared" si="1"/>
        <v>510.99999999999989</v>
      </c>
      <c r="L8" s="1">
        <f t="shared" si="1"/>
        <v>883</v>
      </c>
    </row>
    <row r="9" spans="1:13">
      <c r="A9" t="s">
        <v>21</v>
      </c>
      <c r="C9" s="1">
        <f t="shared" ref="C9:L9" si="2">(C5*C7)-C6</f>
        <v>625.78947368421041</v>
      </c>
      <c r="D9" s="1">
        <f>(D5*D7)-D6</f>
        <v>730</v>
      </c>
      <c r="E9" s="1">
        <f t="shared" si="2"/>
        <v>280</v>
      </c>
      <c r="F9" s="1">
        <f t="shared" si="2"/>
        <v>311</v>
      </c>
      <c r="G9" s="1">
        <f t="shared" si="2"/>
        <v>-170</v>
      </c>
      <c r="H9" s="1">
        <f t="shared" si="2"/>
        <v>-170</v>
      </c>
      <c r="I9" s="1">
        <f t="shared" si="2"/>
        <v>280</v>
      </c>
      <c r="J9" s="1">
        <f t="shared" si="2"/>
        <v>201</v>
      </c>
      <c r="K9" s="1">
        <f t="shared" si="2"/>
        <v>411</v>
      </c>
      <c r="L9" s="1">
        <f t="shared" si="2"/>
        <v>598</v>
      </c>
    </row>
    <row r="11" spans="1:13">
      <c r="A11" t="s">
        <v>53</v>
      </c>
      <c r="C11" s="26" t="s">
        <v>51</v>
      </c>
      <c r="D11" s="27"/>
      <c r="G11" s="19" t="s">
        <v>67</v>
      </c>
      <c r="H11" s="20"/>
      <c r="J11" s="28" t="s">
        <v>52</v>
      </c>
      <c r="K11" s="29"/>
      <c r="L11" s="17" t="s">
        <v>61</v>
      </c>
    </row>
    <row r="12" spans="1:13">
      <c r="C12" s="13" t="s">
        <v>54</v>
      </c>
      <c r="D12" s="14"/>
      <c r="G12" s="15" t="s">
        <v>68</v>
      </c>
      <c r="H12" s="16"/>
      <c r="L12" s="18" t="s">
        <v>55</v>
      </c>
    </row>
    <row r="13" spans="1:13">
      <c r="C13" s="15" t="s">
        <v>55</v>
      </c>
      <c r="D13" s="16"/>
    </row>
    <row r="15" spans="1:13">
      <c r="A15" t="s">
        <v>57</v>
      </c>
      <c r="C15" s="5">
        <f t="shared" ref="C15:L15" si="3">SUM(C8:C9)</f>
        <v>1535.7894736842102</v>
      </c>
      <c r="D15" s="5">
        <f t="shared" si="3"/>
        <v>1781.4285714285713</v>
      </c>
      <c r="E15" s="5">
        <f t="shared" si="3"/>
        <v>660</v>
      </c>
      <c r="F15" s="5">
        <f t="shared" si="3"/>
        <v>632</v>
      </c>
      <c r="G15" s="5">
        <f t="shared" si="3"/>
        <v>-340</v>
      </c>
      <c r="H15" s="5">
        <f t="shared" si="3"/>
        <v>-340</v>
      </c>
      <c r="I15" s="5">
        <f t="shared" si="3"/>
        <v>860</v>
      </c>
      <c r="J15" s="5">
        <f t="shared" si="3"/>
        <v>452</v>
      </c>
      <c r="K15" s="5">
        <f t="shared" si="3"/>
        <v>921.99999999999989</v>
      </c>
      <c r="L15" s="5">
        <f t="shared" si="3"/>
        <v>1481</v>
      </c>
    </row>
    <row r="16" spans="1:13">
      <c r="A16" t="s">
        <v>58</v>
      </c>
      <c r="C16" s="1">
        <f t="shared" ref="C16:L16" si="4">C8+C9+C9</f>
        <v>2161.5789473684208</v>
      </c>
      <c r="D16" s="1">
        <f t="shared" si="4"/>
        <v>2511.4285714285716</v>
      </c>
      <c r="E16" s="1">
        <f t="shared" si="4"/>
        <v>940</v>
      </c>
      <c r="F16" s="1">
        <f t="shared" si="4"/>
        <v>943</v>
      </c>
      <c r="G16" s="1">
        <f t="shared" si="4"/>
        <v>-510</v>
      </c>
      <c r="H16" s="1">
        <f t="shared" si="4"/>
        <v>-510</v>
      </c>
      <c r="I16" s="1">
        <f t="shared" si="4"/>
        <v>1140</v>
      </c>
      <c r="J16" s="1">
        <f t="shared" si="4"/>
        <v>653</v>
      </c>
      <c r="K16" s="1">
        <f t="shared" si="4"/>
        <v>1333</v>
      </c>
      <c r="L16" s="1">
        <f t="shared" si="4"/>
        <v>2079</v>
      </c>
    </row>
    <row r="17" spans="1:12"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2" t="s">
        <v>66</v>
      </c>
    </row>
    <row r="19" spans="1:12">
      <c r="A19" t="s">
        <v>59</v>
      </c>
      <c r="C19" s="11">
        <f ca="1">'comparison model - cash back'!$F$8*2</f>
        <v>1596</v>
      </c>
      <c r="D19" s="11">
        <f ca="1">'comparison model - cash back'!$F$8*2</f>
        <v>1596</v>
      </c>
      <c r="E19" s="11">
        <f ca="1">'comparison model - cash back'!$F$8*2</f>
        <v>1596</v>
      </c>
      <c r="F19" s="11">
        <f ca="1">'comparison model - cash back'!$F$8*2</f>
        <v>1596</v>
      </c>
      <c r="G19" s="11">
        <f ca="1">'comparison model - cash back'!$F$8*2</f>
        <v>1596</v>
      </c>
      <c r="H19" s="11">
        <f ca="1">'comparison model - cash back'!$F$8*2</f>
        <v>1596</v>
      </c>
      <c r="I19" s="11">
        <f ca="1">'comparison model - cash back'!$F$8*2</f>
        <v>1596</v>
      </c>
      <c r="J19" s="11">
        <f ca="1">'comparison model - cash back'!$F$8*2</f>
        <v>1596</v>
      </c>
      <c r="K19" s="11">
        <f ca="1">'comparison model - cash back'!$F$8*2</f>
        <v>1596</v>
      </c>
      <c r="L19" s="11">
        <f ca="1">'comparison model - cash back'!$F$8*2</f>
        <v>1596</v>
      </c>
    </row>
    <row r="20" spans="1:12">
      <c r="A20" t="s">
        <v>60</v>
      </c>
      <c r="C20" s="11">
        <f ca="1">'comparison model - cash back'!$F$8*3</f>
        <v>2394</v>
      </c>
      <c r="D20" s="11">
        <f ca="1">'comparison model - cash back'!$F$8*3</f>
        <v>2394</v>
      </c>
      <c r="E20" s="11">
        <f ca="1">'comparison model - cash back'!$F$8*3</f>
        <v>2394</v>
      </c>
      <c r="F20" s="11">
        <f ca="1">'comparison model - cash back'!$F$8*3</f>
        <v>2394</v>
      </c>
      <c r="G20" s="11">
        <f ca="1">'comparison model - cash back'!$F$8*3</f>
        <v>2394</v>
      </c>
      <c r="H20" s="11">
        <f ca="1">'comparison model - cash back'!$F$8*3</f>
        <v>2394</v>
      </c>
      <c r="I20" s="11">
        <f ca="1">'comparison model - cash back'!$F$8*3</f>
        <v>2394</v>
      </c>
      <c r="J20" s="11">
        <f ca="1">'comparison model - cash back'!$F$8*3</f>
        <v>2394</v>
      </c>
      <c r="K20" s="11">
        <f ca="1">'comparison model - cash back'!$F$8*3</f>
        <v>2394</v>
      </c>
      <c r="L20" s="11">
        <f ca="1">'comparison model - cash back'!$F$8*3</f>
        <v>2394</v>
      </c>
    </row>
    <row r="22" spans="1:12">
      <c r="A22" t="s">
        <v>64</v>
      </c>
      <c r="C22" s="1">
        <f t="shared" ref="C22:L22" si="5">C19-C15</f>
        <v>60.210526315789821</v>
      </c>
      <c r="D22" s="1">
        <f t="shared" si="5"/>
        <v>-185.42857142857133</v>
      </c>
      <c r="E22" s="1">
        <f t="shared" si="5"/>
        <v>936</v>
      </c>
      <c r="F22" s="1">
        <f t="shared" si="5"/>
        <v>964</v>
      </c>
      <c r="G22" s="1">
        <f t="shared" si="5"/>
        <v>1936</v>
      </c>
      <c r="H22" s="1">
        <f t="shared" si="5"/>
        <v>1936</v>
      </c>
      <c r="I22" s="1">
        <f t="shared" si="5"/>
        <v>736</v>
      </c>
      <c r="J22" s="1">
        <f t="shared" si="5"/>
        <v>1144</v>
      </c>
      <c r="K22" s="1">
        <f t="shared" si="5"/>
        <v>674.00000000000011</v>
      </c>
      <c r="L22" s="1">
        <f t="shared" si="5"/>
        <v>115</v>
      </c>
    </row>
    <row r="23" spans="1:12">
      <c r="A23" t="s">
        <v>65</v>
      </c>
      <c r="C23" s="1">
        <f t="shared" ref="C23:L23" si="6">C20-C16</f>
        <v>232.42105263157919</v>
      </c>
      <c r="D23" s="1">
        <f t="shared" si="6"/>
        <v>-117.42857142857156</v>
      </c>
      <c r="E23" s="1">
        <f t="shared" si="6"/>
        <v>1454</v>
      </c>
      <c r="F23" s="1">
        <f t="shared" si="6"/>
        <v>1451</v>
      </c>
      <c r="G23" s="1">
        <f t="shared" si="6"/>
        <v>2904</v>
      </c>
      <c r="H23" s="1">
        <f t="shared" si="6"/>
        <v>2904</v>
      </c>
      <c r="I23" s="1">
        <f t="shared" si="6"/>
        <v>1254</v>
      </c>
      <c r="J23" s="1">
        <f t="shared" si="6"/>
        <v>1741</v>
      </c>
      <c r="K23" s="1">
        <f t="shared" si="6"/>
        <v>1061</v>
      </c>
      <c r="L23" s="1">
        <f t="shared" si="6"/>
        <v>315</v>
      </c>
    </row>
  </sheetData>
  <mergeCells count="2">
    <mergeCell ref="C11:D11"/>
    <mergeCell ref="J11:K11"/>
  </mergeCells>
  <phoneticPr fontId="3" type="noConversion"/>
  <conditionalFormatting sqref="C19:L20">
    <cfRule type="cellIs" dxfId="3" priority="1" stopIfTrue="1" operator="greaterThanOrEqual">
      <formula>C15</formula>
    </cfRule>
    <cfRule type="cellIs" dxfId="2" priority="2" stopIfTrue="1" operator="lessThan">
      <formula>C15</formula>
    </cfRule>
  </conditionalFormatting>
  <conditionalFormatting sqref="C22:L23">
    <cfRule type="cellIs" dxfId="1" priority="3" stopIfTrue="1" operator="greaterThan">
      <formula>0</formula>
    </cfRule>
    <cfRule type="cellIs" dxfId="0" priority="4" stopIfTrue="1" operator="lessThanOrEqual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0"/>
  <sheetViews>
    <sheetView workbookViewId="0">
      <selection activeCell="F16" sqref="F16"/>
    </sheetView>
  </sheetViews>
  <sheetFormatPr defaultRowHeight="15"/>
  <cols>
    <col min="1" max="1" width="74" bestFit="1" customWidth="1"/>
    <col min="6" max="6" width="12.85546875" customWidth="1"/>
    <col min="9" max="9" width="10.5703125" bestFit="1" customWidth="1"/>
    <col min="12" max="12" width="10.5703125" bestFit="1" customWidth="1"/>
  </cols>
  <sheetData>
    <row r="1" spans="1:13" ht="132">
      <c r="A1" t="s">
        <v>48</v>
      </c>
      <c r="B1" t="s">
        <v>49</v>
      </c>
      <c r="C1" s="3" t="str">
        <f ca="1">'base data'!A15</f>
        <v>BMO Cashback Mastercard</v>
      </c>
      <c r="D1" s="3" t="str">
        <f ca="1">'base data'!A16</f>
        <v>BMO Premium Cashback Mastercard</v>
      </c>
      <c r="E1" s="3" t="str">
        <f ca="1">'base data'!A17</f>
        <v>Scotia Momentum Visa</v>
      </c>
      <c r="F1" s="3" t="str">
        <f ca="1">'base data'!A18</f>
        <v>Scotia Momentum Visa Infinite</v>
      </c>
      <c r="G1" s="3" t="str">
        <f ca="1">'base data'!A19</f>
        <v>CIBC Dividend Visa</v>
      </c>
      <c r="H1" s="3" t="str">
        <f ca="1">'base data'!A20</f>
        <v>CIBC Dividend Infinite Visa</v>
      </c>
      <c r="I1" s="3" t="str">
        <f ca="1">'base data'!A21</f>
        <v>TD Rebate Rewards Visa</v>
      </c>
      <c r="J1" s="3" t="str">
        <f ca="1">'base data'!A22</f>
        <v>RBC Cash Back Mastercard</v>
      </c>
      <c r="K1" s="3" t="str">
        <f ca="1">'base data'!A23</f>
        <v>RBC Cash Back Visa</v>
      </c>
      <c r="L1" s="3" t="str">
        <f ca="1">'base data'!A24</f>
        <v>MBNA Smart Cash</v>
      </c>
    </row>
    <row r="2" spans="1:13">
      <c r="A2" t="s">
        <v>39</v>
      </c>
      <c r="C2" s="11">
        <f ca="1">'base data'!C15</f>
        <v>0</v>
      </c>
      <c r="D2" s="11">
        <f ca="1">'base data'!C16</f>
        <v>49</v>
      </c>
      <c r="E2" s="11">
        <f ca="1">'base data'!C17</f>
        <v>0</v>
      </c>
      <c r="F2" s="11">
        <f ca="1">'base data'!C18</f>
        <v>114</v>
      </c>
      <c r="G2" s="10">
        <f ca="1">'base data'!C19</f>
        <v>0</v>
      </c>
      <c r="H2" s="10">
        <f ca="1">'base data'!C20</f>
        <v>109</v>
      </c>
      <c r="I2" s="10">
        <f ca="1">'base data'!C21</f>
        <v>0</v>
      </c>
      <c r="J2" s="10">
        <f ca="1">'base data'!C22</f>
        <v>0</v>
      </c>
      <c r="K2" s="11">
        <f ca="1">'base data'!C23</f>
        <v>19</v>
      </c>
      <c r="L2">
        <f ca="1">'base data'!C24</f>
        <v>0</v>
      </c>
    </row>
    <row r="3" spans="1:13">
      <c r="A3" t="s">
        <v>40</v>
      </c>
      <c r="B3">
        <v>2000</v>
      </c>
      <c r="C3" s="11">
        <f ca="1">B3*'base data'!D15</f>
        <v>10</v>
      </c>
      <c r="D3" s="11">
        <f ca="1">B3*'base data'!D16</f>
        <v>20</v>
      </c>
      <c r="E3" s="11">
        <f ca="1">B3*'base data'!D17</f>
        <v>10</v>
      </c>
      <c r="F3" s="11">
        <f ca="1">B3*'base data'!D18</f>
        <v>20</v>
      </c>
      <c r="G3" s="10"/>
      <c r="H3" s="10"/>
      <c r="I3" s="10"/>
      <c r="J3" s="11">
        <f ca="1">B3*'base data'!D22</f>
        <v>20</v>
      </c>
      <c r="K3" s="11">
        <f ca="1">B3*'base data'!D23</f>
        <v>20</v>
      </c>
      <c r="L3">
        <f ca="1">B3*'base data'!D24</f>
        <v>20</v>
      </c>
    </row>
    <row r="4" spans="1:13">
      <c r="A4" t="s">
        <v>69</v>
      </c>
      <c r="B4">
        <v>1500</v>
      </c>
      <c r="C4" s="11">
        <f ca="1">B4*'base data'!E15</f>
        <v>7.5</v>
      </c>
      <c r="D4" s="11">
        <f ca="1">B4*'base data'!E16</f>
        <v>15</v>
      </c>
      <c r="E4" s="11">
        <f ca="1">B4*'base data'!E17</f>
        <v>15</v>
      </c>
      <c r="F4" s="11">
        <f ca="1">(B4-B5)*'base data'!E18</f>
        <v>52</v>
      </c>
      <c r="G4" s="10"/>
      <c r="H4" s="10"/>
      <c r="I4" s="10"/>
      <c r="J4" s="11">
        <f ca="1">B4*'base data'!E22</f>
        <v>30</v>
      </c>
      <c r="K4" s="11">
        <f ca="1">B4*'base data'!E23</f>
        <v>15</v>
      </c>
    </row>
    <row r="5" spans="1:13">
      <c r="A5" t="s">
        <v>70</v>
      </c>
      <c r="B5">
        <v>200</v>
      </c>
      <c r="C5" s="11"/>
      <c r="D5" s="11"/>
      <c r="E5" s="11"/>
      <c r="F5" s="11">
        <f ca="1">B5*'base data'!F18</f>
        <v>4</v>
      </c>
      <c r="G5" s="10"/>
      <c r="H5" s="10"/>
      <c r="I5" s="10"/>
      <c r="J5" s="10"/>
    </row>
    <row r="6" spans="1:13">
      <c r="A6" t="s">
        <v>42</v>
      </c>
      <c r="B6">
        <v>3000</v>
      </c>
      <c r="C6" s="10"/>
      <c r="D6" s="10"/>
      <c r="E6" s="10"/>
      <c r="F6" s="10"/>
      <c r="G6" s="11">
        <f ca="1">B6*'base data'!G19</f>
        <v>7.5</v>
      </c>
      <c r="H6" s="11">
        <f ca="1">B6*'base data'!G20</f>
        <v>15</v>
      </c>
      <c r="I6" s="11">
        <f ca="1">B6*'base data'!G21</f>
        <v>15</v>
      </c>
      <c r="J6" s="10"/>
      <c r="L6">
        <f ca="1">B4*'base data'!I24</f>
        <v>75</v>
      </c>
    </row>
    <row r="7" spans="1:13">
      <c r="A7" t="s">
        <v>46</v>
      </c>
      <c r="B7" t="s">
        <v>45</v>
      </c>
      <c r="C7" s="10"/>
      <c r="D7" s="10"/>
      <c r="E7" s="10"/>
      <c r="F7" s="10"/>
      <c r="G7" s="11">
        <f ca="1">(SUM($B$3:$B$4)-$B$6)*'base data'!H19</f>
        <v>2.5</v>
      </c>
      <c r="H7" s="11">
        <f ca="1">(SUM($B$3:$B$4)-$B$6)*'base data'!H20</f>
        <v>5</v>
      </c>
      <c r="I7" s="11">
        <f ca="1">(SUM($B$3:$B$4)-$B$6)*'base data'!H21</f>
        <v>5</v>
      </c>
      <c r="J7" s="10"/>
      <c r="L7">
        <f ca="1">B4*'base data'!J24</f>
        <v>45</v>
      </c>
    </row>
    <row r="8" spans="1:13">
      <c r="A8" t="s">
        <v>41</v>
      </c>
      <c r="C8" s="11">
        <f>((C3+C4)*12)-C2</f>
        <v>210</v>
      </c>
      <c r="D8" s="11">
        <f>((D3+D4)*12)-D2</f>
        <v>371</v>
      </c>
      <c r="E8" s="11">
        <f>((E3+E4)*12)-E2</f>
        <v>300</v>
      </c>
      <c r="F8" s="11">
        <f>((F3+F4+F5)*12)-F2</f>
        <v>798</v>
      </c>
      <c r="G8" s="11">
        <f>(SUM(G6:G7)*12)-G2</f>
        <v>120</v>
      </c>
      <c r="H8" s="11">
        <f>(SUM(H6:H7)*12)-H2</f>
        <v>131</v>
      </c>
      <c r="I8" s="11">
        <f>(SUM(I6:I7)*12)-I2</f>
        <v>240</v>
      </c>
      <c r="J8" s="11">
        <f>((J3+J4+J5)*12)-J2</f>
        <v>600</v>
      </c>
      <c r="K8" s="11">
        <f>((K3+K4+K5)*12)-K2</f>
        <v>401</v>
      </c>
      <c r="L8" s="11">
        <f>(L3*12)+(L6*6)+(L7*6)</f>
        <v>960</v>
      </c>
      <c r="M8" t="s">
        <v>75</v>
      </c>
    </row>
    <row r="9" spans="1:13">
      <c r="F9" s="5"/>
      <c r="L9" s="25">
        <f>(L7+L3)*12</f>
        <v>780</v>
      </c>
      <c r="M9" t="s">
        <v>76</v>
      </c>
    </row>
    <row r="10" spans="1:13">
      <c r="F10" s="5"/>
      <c r="L10" s="5"/>
    </row>
    <row r="11" spans="1:13">
      <c r="F11" s="5"/>
      <c r="L11" s="5"/>
    </row>
    <row r="12" spans="1:13">
      <c r="F12" s="5"/>
      <c r="L12" s="5"/>
    </row>
    <row r="13" spans="1:13">
      <c r="F13" s="5"/>
      <c r="L13" s="5"/>
    </row>
    <row r="14" spans="1:13">
      <c r="F14" s="5"/>
      <c r="L14" s="5"/>
    </row>
    <row r="15" spans="1:13">
      <c r="F15" s="5"/>
      <c r="L15" s="5"/>
    </row>
    <row r="16" spans="1:13">
      <c r="F16" s="5"/>
      <c r="L16" s="5"/>
    </row>
    <row r="17" spans="6:12">
      <c r="F17" s="5"/>
      <c r="L17" s="5"/>
    </row>
    <row r="20" spans="6:12">
      <c r="F20" s="5"/>
      <c r="L20" s="5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 data</vt:lpstr>
      <vt:lpstr>comparison model - travel</vt:lpstr>
      <vt:lpstr>comparison model - cash 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Zalmanowitz</dc:creator>
  <cp:lastModifiedBy>jzalmano</cp:lastModifiedBy>
  <dcterms:created xsi:type="dcterms:W3CDTF">2012-03-02T17:19:09Z</dcterms:created>
  <dcterms:modified xsi:type="dcterms:W3CDTF">2012-04-16T18:57:30Z</dcterms:modified>
</cp:coreProperties>
</file>